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.Lukyanova\Desktop\"/>
    </mc:Choice>
  </mc:AlternateContent>
  <bookViews>
    <workbookView xWindow="0" yWindow="0" windowWidth="28800" windowHeight="12300"/>
  </bookViews>
  <sheets>
    <sheet name="Калькулятор НДФЛ" sheetId="1" r:id="rId1"/>
    <sheet name="Компенсация выпадающего дохода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2" l="1"/>
  <c r="F13" i="2"/>
  <c r="F14" i="2"/>
  <c r="F15" i="2"/>
  <c r="F16" i="2"/>
  <c r="F17" i="2"/>
  <c r="F18" i="2"/>
  <c r="F19" i="2"/>
  <c r="F20" i="2"/>
  <c r="F21" i="2"/>
  <c r="F22" i="2"/>
  <c r="F23" i="2"/>
  <c r="F12" i="2"/>
  <c r="B24" i="2"/>
  <c r="C12" i="2"/>
  <c r="D12" i="2" s="1"/>
  <c r="F13" i="1"/>
  <c r="F14" i="1"/>
  <c r="F15" i="1"/>
  <c r="F16" i="1"/>
  <c r="F17" i="1"/>
  <c r="F18" i="1"/>
  <c r="F19" i="1"/>
  <c r="F20" i="1"/>
  <c r="F21" i="1"/>
  <c r="F22" i="1"/>
  <c r="F23" i="1"/>
  <c r="F12" i="1"/>
  <c r="G12" i="1" s="1"/>
  <c r="B24" i="1"/>
  <c r="C12" i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13" i="2" l="1"/>
  <c r="C14" i="2" s="1"/>
  <c r="F24" i="2"/>
  <c r="G12" i="2"/>
  <c r="G13" i="2" s="1"/>
  <c r="G14" i="2" s="1"/>
  <c r="C15" i="2"/>
  <c r="D14" i="2"/>
  <c r="K14" i="2" s="1"/>
  <c r="K12" i="2"/>
  <c r="G13" i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F24" i="1"/>
  <c r="H12" i="1" a="1"/>
  <c r="H12" i="1" s="1"/>
  <c r="I12" i="1" s="1" a="1"/>
  <c r="I12" i="1" s="1"/>
  <c r="L12" i="1" s="1"/>
  <c r="D22" i="1"/>
  <c r="K22" i="1" s="1"/>
  <c r="D14" i="1"/>
  <c r="K14" i="1" s="1"/>
  <c r="D21" i="1"/>
  <c r="K21" i="1" s="1"/>
  <c r="D13" i="1"/>
  <c r="K13" i="1" s="1"/>
  <c r="D17" i="1"/>
  <c r="K17" i="1" s="1"/>
  <c r="D18" i="1"/>
  <c r="K18" i="1" s="1"/>
  <c r="D20" i="1"/>
  <c r="K20" i="1" s="1"/>
  <c r="D16" i="1"/>
  <c r="K16" i="1" s="1"/>
  <c r="D12" i="1"/>
  <c r="K12" i="1" s="1"/>
  <c r="D23" i="1"/>
  <c r="K23" i="1" s="1"/>
  <c r="D19" i="1"/>
  <c r="K19" i="1" s="1"/>
  <c r="D15" i="1"/>
  <c r="K15" i="1" s="1"/>
  <c r="D15" i="2" l="1"/>
  <c r="K15" i="2" s="1"/>
  <c r="M12" i="1"/>
  <c r="K24" i="1"/>
  <c r="D13" i="2"/>
  <c r="K13" i="2" s="1"/>
  <c r="H12" i="2" a="1"/>
  <c r="H12" i="2" s="1"/>
  <c r="I12" i="2" s="1" a="1"/>
  <c r="I12" i="2" s="1"/>
  <c r="L12" i="2" s="1"/>
  <c r="H13" i="2" a="1"/>
  <c r="H13" i="2" s="1"/>
  <c r="I13" i="2" s="1" a="1"/>
  <c r="I13" i="2" s="1"/>
  <c r="L13" i="2" s="1"/>
  <c r="C16" i="2"/>
  <c r="D16" i="2" s="1"/>
  <c r="G15" i="2"/>
  <c r="H15" i="2" s="1" a="1"/>
  <c r="H15" i="2" s="1"/>
  <c r="I15" i="2" s="1" a="1"/>
  <c r="I15" i="2" s="1"/>
  <c r="L15" i="2" s="1"/>
  <c r="M15" i="2" s="1"/>
  <c r="H14" i="2" a="1"/>
  <c r="H14" i="2" s="1"/>
  <c r="I14" i="2" s="1" a="1"/>
  <c r="I14" i="2" s="1"/>
  <c r="L14" i="2" s="1"/>
  <c r="M14" i="2" s="1"/>
  <c r="H13" i="1" a="1"/>
  <c r="H13" i="1" s="1"/>
  <c r="I13" i="1" s="1" a="1"/>
  <c r="I13" i="1" s="1"/>
  <c r="L13" i="1" s="1"/>
  <c r="M13" i="1" s="1"/>
  <c r="D24" i="1"/>
  <c r="M13" i="2" l="1"/>
  <c r="C17" i="2"/>
  <c r="D17" i="2" s="1"/>
  <c r="K17" i="2" s="1"/>
  <c r="M12" i="2"/>
  <c r="K16" i="2"/>
  <c r="G16" i="2"/>
  <c r="H16" i="2" s="1" a="1"/>
  <c r="H16" i="2" s="1"/>
  <c r="I16" i="2" s="1" a="1"/>
  <c r="I16" i="2" s="1"/>
  <c r="L16" i="2" s="1"/>
  <c r="H15" i="1" a="1"/>
  <c r="H15" i="1" s="1"/>
  <c r="I15" i="1" s="1" a="1"/>
  <c r="I15" i="1" s="1"/>
  <c r="L15" i="1" s="1"/>
  <c r="M15" i="1" s="1"/>
  <c r="H14" i="1" a="1"/>
  <c r="H14" i="1" s="1"/>
  <c r="I14" i="1" s="1" a="1"/>
  <c r="I14" i="1" s="1"/>
  <c r="L14" i="1" s="1"/>
  <c r="M14" i="1" s="1"/>
  <c r="M16" i="2" l="1"/>
  <c r="G17" i="2"/>
  <c r="C18" i="2"/>
  <c r="D18" i="2" s="1"/>
  <c r="H16" i="1" a="1"/>
  <c r="H16" i="1" s="1"/>
  <c r="I16" i="1" s="1" a="1"/>
  <c r="I16" i="1" s="1"/>
  <c r="L16" i="1" s="1"/>
  <c r="M16" i="1" s="1"/>
  <c r="G18" i="2" l="1"/>
  <c r="K18" i="2"/>
  <c r="C19" i="2"/>
  <c r="D19" i="2" s="1"/>
  <c r="K19" i="2" s="1"/>
  <c r="H17" i="2" a="1"/>
  <c r="H17" i="2" s="1"/>
  <c r="I17" i="2" s="1" a="1"/>
  <c r="I17" i="2" s="1"/>
  <c r="H17" i="1" a="1"/>
  <c r="H17" i="1" s="1"/>
  <c r="I17" i="1" s="1" a="1"/>
  <c r="I17" i="1" s="1"/>
  <c r="L17" i="1" s="1"/>
  <c r="M17" i="1" s="1"/>
  <c r="L17" i="2" l="1"/>
  <c r="C20" i="2"/>
  <c r="D20" i="2" s="1"/>
  <c r="K20" i="2" s="1"/>
  <c r="G19" i="2"/>
  <c r="H18" i="2" a="1"/>
  <c r="H18" i="2" s="1"/>
  <c r="I18" i="2" s="1" a="1"/>
  <c r="I18" i="2" s="1"/>
  <c r="L18" i="2" s="1"/>
  <c r="M18" i="2" s="1"/>
  <c r="H18" i="1" a="1"/>
  <c r="H18" i="1" s="1"/>
  <c r="I18" i="1" s="1" a="1"/>
  <c r="I18" i="1" s="1"/>
  <c r="L18" i="1" s="1"/>
  <c r="M18" i="1" s="1"/>
  <c r="G20" i="2" l="1"/>
  <c r="H20" i="2" s="1" a="1"/>
  <c r="H20" i="2" s="1"/>
  <c r="I20" i="2" s="1" a="1"/>
  <c r="I20" i="2" s="1"/>
  <c r="L20" i="2" s="1"/>
  <c r="M20" i="2" s="1"/>
  <c r="H19" i="2" a="1"/>
  <c r="H19" i="2" s="1"/>
  <c r="I19" i="2" s="1" a="1"/>
  <c r="I19" i="2" s="1"/>
  <c r="L19" i="2" s="1"/>
  <c r="M19" i="2" s="1"/>
  <c r="C21" i="2"/>
  <c r="D21" i="2" s="1"/>
  <c r="K21" i="2" s="1"/>
  <c r="M17" i="2"/>
  <c r="H19" i="1" a="1"/>
  <c r="H19" i="1" s="1"/>
  <c r="I19" i="1" s="1" a="1"/>
  <c r="I19" i="1" s="1"/>
  <c r="L19" i="1" s="1"/>
  <c r="M19" i="1" s="1"/>
  <c r="C22" i="2" l="1"/>
  <c r="D22" i="2"/>
  <c r="K22" i="2" s="1"/>
  <c r="G21" i="2"/>
  <c r="H21" i="2" s="1" a="1"/>
  <c r="H21" i="2" s="1"/>
  <c r="I21" i="2" s="1" a="1"/>
  <c r="I21" i="2" s="1"/>
  <c r="L21" i="2" s="1"/>
  <c r="M21" i="2" s="1"/>
  <c r="H20" i="1" a="1"/>
  <c r="H20" i="1" s="1"/>
  <c r="I20" i="1" s="1" a="1"/>
  <c r="I20" i="1" s="1"/>
  <c r="L20" i="1" s="1"/>
  <c r="M20" i="1" s="1"/>
  <c r="G22" i="2" l="1"/>
  <c r="C23" i="2"/>
  <c r="D23" i="2" s="1"/>
  <c r="H21" i="1" a="1"/>
  <c r="H21" i="1" s="1"/>
  <c r="I21" i="1" s="1" a="1"/>
  <c r="I21" i="1" s="1"/>
  <c r="L21" i="1" s="1"/>
  <c r="M21" i="1" s="1"/>
  <c r="G23" i="2" l="1"/>
  <c r="H23" i="2" s="1" a="1"/>
  <c r="H23" i="2" s="1"/>
  <c r="I23" i="2" s="1" a="1"/>
  <c r="I23" i="2" s="1"/>
  <c r="H22" i="2" a="1"/>
  <c r="H22" i="2" s="1"/>
  <c r="I22" i="2" s="1" a="1"/>
  <c r="I22" i="2" s="1"/>
  <c r="L22" i="2" s="1"/>
  <c r="M22" i="2" s="1"/>
  <c r="K23" i="2"/>
  <c r="K24" i="2" s="1"/>
  <c r="D24" i="2"/>
  <c r="H22" i="1" a="1"/>
  <c r="H22" i="1" s="1"/>
  <c r="I22" i="1" s="1" a="1"/>
  <c r="I22" i="1" s="1"/>
  <c r="L22" i="1" s="1"/>
  <c r="M22" i="1" s="1"/>
  <c r="H23" i="1" a="1"/>
  <c r="H23" i="1" s="1"/>
  <c r="I23" i="1" s="1" a="1"/>
  <c r="I23" i="1" s="1"/>
  <c r="L23" i="1" s="1"/>
  <c r="M23" i="1" l="1"/>
  <c r="M24" i="1" s="1"/>
  <c r="L24" i="1"/>
  <c r="L23" i="2"/>
  <c r="I24" i="2"/>
  <c r="I24" i="1"/>
  <c r="L4" i="1" s="1"/>
  <c r="L5" i="1" s="1"/>
  <c r="M23" i="2" l="1"/>
  <c r="M24" i="2" s="1"/>
  <c r="L2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<sst xmlns="http://schemas.openxmlformats.org/spreadsheetml/2006/main" count="80" uniqueCount="41">
  <si>
    <t>до</t>
  </si>
  <si>
    <t>более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</si>
  <si>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</si>
  <si>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</si>
  <si>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</si>
  <si>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</si>
  <si>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</si>
  <si>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</si>
  <si>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</si>
  <si>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</si>
  <si>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</si>
  <si>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</si>
  <si>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</si>
  <si>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</si>
  <si>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Доход нараст., руб.</t>
  </si>
  <si>
    <t>Доход,
руб.</t>
  </si>
  <si>
    <t>Доход, 
руб.</t>
  </si>
  <si>
    <t>Доход
нараст., руб.</t>
  </si>
  <si>
    <t>Итого</t>
  </si>
  <si>
    <t>НДФЛ,
руб.</t>
  </si>
  <si>
    <t>Действующая шкала НДФЛ</t>
  </si>
  <si>
    <t>Предлагаемая шкала НДФЛ</t>
  </si>
  <si>
    <t>Условия</t>
  </si>
  <si>
    <t>за год</t>
  </si>
  <si>
    <t>Прирост НДФЛ</t>
  </si>
  <si>
    <t xml:space="preserve">более </t>
  </si>
  <si>
    <t>в мес.</t>
  </si>
  <si>
    <t>Чистыми 
на руки
до реформы</t>
  </si>
  <si>
    <t>Чистыми
на руки
после реформы</t>
  </si>
  <si>
    <t>Разница</t>
  </si>
  <si>
    <t>Сумма компенсации в месяц рассчитывается методом подбора</t>
  </si>
  <si>
    <t>2. На ленте меню откройте вкладку "Данные", найдите группу "Прогноз".</t>
  </si>
  <si>
    <t>- второе поле  = 0, это целевое значение годовой разницы в ЗП</t>
  </si>
  <si>
    <t>На сколько снизится зарплата на руки после реформы</t>
  </si>
  <si>
    <t>На сколько нужно увеличить зарплату, чтобы компенсировать потери из-за новой шкалы НДФЛ</t>
  </si>
  <si>
    <r>
      <t xml:space="preserve">1. Убедитесь, что в ячейке </t>
    </r>
    <r>
      <rPr>
        <b/>
        <sz val="11"/>
        <color theme="1"/>
        <rFont val="Aptos Narrow"/>
        <family val="2"/>
        <scheme val="minor"/>
      </rPr>
      <t>L5</t>
    </r>
    <r>
      <rPr>
        <sz val="11"/>
        <color theme="1"/>
        <rFont val="Aptos Narrow"/>
        <family val="2"/>
        <charset val="204"/>
        <scheme val="minor"/>
      </rPr>
      <t xml:space="preserve"> нет значения или удалите его</t>
    </r>
  </si>
  <si>
    <t xml:space="preserve"> Выберите инструмент "Подбор параметра" в "Анализе "что-если".</t>
  </si>
  <si>
    <r>
      <t>- первое поле  = годовая разница в ЗП чистыми до и после реформы (</t>
    </r>
    <r>
      <rPr>
        <b/>
        <sz val="11"/>
        <color theme="1"/>
        <rFont val="Aptos Narrow"/>
        <family val="2"/>
        <scheme val="minor"/>
      </rPr>
      <t>M24</t>
    </r>
    <r>
      <rPr>
        <sz val="11"/>
        <color theme="1"/>
        <rFont val="Aptos Narrow"/>
        <family val="2"/>
        <charset val="204"/>
        <scheme val="minor"/>
      </rPr>
      <t>)</t>
    </r>
  </si>
  <si>
    <r>
      <t>- третье поле = прирост в ЗП в мес., искомый параметр (</t>
    </r>
    <r>
      <rPr>
        <b/>
        <sz val="11"/>
        <color theme="1"/>
        <rFont val="Aptos Narrow"/>
        <family val="2"/>
        <scheme val="minor"/>
      </rPr>
      <t>l5</t>
    </r>
    <r>
      <rPr>
        <sz val="11"/>
        <color theme="1"/>
        <rFont val="Aptos Narrow"/>
        <family val="2"/>
        <charset val="204"/>
        <scheme val="minor"/>
      </rPr>
      <t>)</t>
    </r>
  </si>
  <si>
    <t>Прирост зарплаты для компенсации</t>
  </si>
  <si>
    <t>3. Укажите вводные для подбора как на скриншоте ниже, где: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</si>
</sst>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sz val="8"/>
      <name val="Aptos Narrow"/>
      <family val="2"/>
      <charset val="204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0"/>
      <color theme="1"/>
      <name val="Arial"/>
      <family val="2"/>
      <charset val="204"/>
    </font>
    <font>
      <b/>
      <sz val="11"/>
      <color rgb="FFFFFFFF"/>
      <name val="Aptos Narrow"/>
      <family val="2"/>
    </font>
    <font>
      <sz val="10"/>
      <color theme="1"/>
      <name val="Aptos Narrow"/>
      <family val="2"/>
      <charset val="204"/>
      <scheme val="minor"/>
    </font>
    <font>
      <b/>
      <sz val="16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4A85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 wrapText="1"/>
    </xf>
    <xf numFmtId="3" fontId="0" fillId="0" borderId="0" xfId="0" applyNumberFormat="1" applyAlignment="1">
      <alignment horizontal="left" vertical="top"/>
    </xf>
    <xf numFmtId="9" fontId="0" fillId="0" borderId="0" xfId="1" applyFont="1" applyFill="1" applyAlignment="1">
      <alignment horizontal="left" vertical="top"/>
    </xf>
    <xf numFmtId="9" fontId="0" fillId="3" borderId="0" xfId="1" applyFont="1" applyFill="1" applyAlignment="1">
      <alignment horizontal="left" vertical="top"/>
    </xf>
    <xf numFmtId="9" fontId="0" fillId="4" borderId="0" xfId="1" applyFont="1" applyFill="1" applyAlignment="1">
      <alignment horizontal="left" vertical="top"/>
    </xf>
    <xf numFmtId="9" fontId="0" fillId="2" borderId="0" xfId="1" applyFont="1" applyFill="1" applyAlignment="1">
      <alignment horizontal="left" vertical="top"/>
    </xf>
    <xf numFmtId="9" fontId="0" fillId="5" borderId="0" xfId="0" applyNumberFormat="1" applyFill="1" applyAlignment="1">
      <alignment horizontal="left" vertical="top"/>
    </xf>
    <xf numFmtId="3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9" fontId="0" fillId="0" borderId="0" xfId="0" applyNumberFormat="1" applyAlignment="1">
      <alignment horizontal="left" vertical="top"/>
    </xf>
    <xf numFmtId="3" fontId="0" fillId="0" borderId="0" xfId="0" applyNumberFormat="1" applyAlignment="1">
      <alignment horizontal="center" vertical="top"/>
    </xf>
    <xf numFmtId="0" fontId="0" fillId="0" borderId="0" xfId="0" applyAlignment="1">
      <alignment horizontal="right" vertical="top"/>
    </xf>
    <xf numFmtId="0" fontId="4" fillId="6" borderId="0" xfId="0" applyFont="1" applyFill="1" applyAlignment="1">
      <alignment horizontal="left" vertical="top"/>
    </xf>
    <xf numFmtId="0" fontId="5" fillId="6" borderId="0" xfId="0" applyFont="1" applyFill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3" fontId="3" fillId="3" borderId="0" xfId="0" applyNumberFormat="1" applyFont="1" applyFill="1" applyAlignment="1">
      <alignment horizontal="left" vertical="top"/>
    </xf>
    <xf numFmtId="0" fontId="0" fillId="3" borderId="0" xfId="0" applyFill="1" applyAlignment="1">
      <alignment horizontal="left" vertical="top"/>
    </xf>
    <xf numFmtId="3" fontId="0" fillId="7" borderId="0" xfId="0" applyNumberFormat="1" applyFill="1" applyAlignment="1" applyProtection="1">
      <alignment horizontal="left" vertical="top"/>
      <protection locked="0"/>
    </xf>
    <xf numFmtId="0" fontId="5" fillId="0" borderId="0" xfId="0" applyFont="1" applyAlignment="1">
      <alignment horizontal="left" vertical="top" wrapText="1"/>
    </xf>
    <xf numFmtId="0" fontId="7" fillId="8" borderId="1" xfId="0" applyFont="1" applyFill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wrapText="1"/>
    </xf>
    <xf numFmtId="0" fontId="3" fillId="0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0" fontId="8" fillId="0" borderId="0" xfId="0" applyFont="1" applyAlignment="1">
      <alignment horizontal="left" vertical="top"/>
    </xf>
    <xf numFmtId="0" fontId="0" fillId="0" borderId="0" xfId="0" quotePrefix="1" applyAlignment="1">
      <alignment horizontal="left" vertical="top"/>
    </xf>
    <xf numFmtId="3" fontId="0" fillId="0" borderId="0" xfId="0" quotePrefix="1" applyNumberFormat="1" applyAlignment="1">
      <alignment horizontal="left" vertical="top"/>
    </xf>
    <xf numFmtId="0" fontId="10" fillId="9" borderId="0" xfId="0" applyFont="1" applyFill="1" applyAlignment="1">
      <alignment horizontal="left" vertical="top"/>
    </xf>
    <xf numFmtId="0" fontId="4" fillId="9" borderId="0" xfId="0" applyFont="1" applyFill="1" applyAlignment="1">
      <alignment horizontal="left" vertical="top"/>
    </xf>
    <xf numFmtId="0" fontId="10" fillId="10" borderId="0" xfId="0" applyFont="1" applyFill="1" applyAlignment="1">
      <alignment horizontal="left" vertical="top"/>
    </xf>
    <xf numFmtId="0" fontId="4" fillId="10" borderId="0" xfId="0" applyFont="1" applyFill="1" applyAlignment="1">
      <alignment horizontal="left" vertical="top"/>
    </xf>
    <xf numFmtId="0" fontId="0" fillId="10" borderId="0" xfId="0" applyFill="1" applyAlignment="1">
      <alignment horizontal="left" vertical="top"/>
    </xf>
    <xf numFmtId="0" fontId="9" fillId="0" borderId="0" xfId="0" applyFont="1" applyFill="1" applyAlignment="1">
      <alignment horizontal="left" vertical="top"/>
    </xf>
    <xf numFmtId="0" fontId="10" fillId="11" borderId="0" xfId="0" applyFont="1" applyFill="1" applyAlignment="1">
      <alignment horizontal="left" vertical="top"/>
    </xf>
    <xf numFmtId="0" fontId="4" fillId="11" borderId="0" xfId="0" applyFont="1" applyFill="1" applyAlignment="1">
      <alignment horizontal="left" vertical="top"/>
    </xf>
    <xf numFmtId="3" fontId="3" fillId="0" borderId="2" xfId="0" applyNumberFormat="1" applyFont="1" applyBorder="1" applyAlignment="1">
      <alignment horizontal="left" vertical="top"/>
    </xf>
    <xf numFmtId="3" fontId="3" fillId="10" borderId="2" xfId="0" applyNumberFormat="1" applyFont="1" applyFill="1" applyBorder="1" applyAlignment="1" applyProtection="1">
      <alignment horizontal="left" vertical="top"/>
      <protection locked="0"/>
    </xf>
    <xf numFmtId="3" fontId="3" fillId="10" borderId="0" xfId="0" applyNumberFormat="1" applyFont="1" applyFill="1" applyBorder="1" applyAlignment="1" applyProtection="1">
      <alignment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 wrapText="1"/>
    </xf>
  </cellXfs>
  <cellStyles count="2">
    <cellStyle name="Обычный" xfId="0" builtinId="0"/>
    <cellStyle name="Процентный" xfId="1" builtinId="5"/>
  </cellStyles>
  <dxfs count="10">
    <dxf>
      <fill>
        <patternFill>
          <bgColor theme="6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9</xdr:row>
      <xdr:rowOff>220980</xdr:rowOff>
    </xdr:from>
    <xdr:to>
      <xdr:col>18</xdr:col>
      <xdr:colOff>145082</xdr:colOff>
      <xdr:row>18</xdr:row>
      <xdr:rowOff>38260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36E765EA-8744-8539-525D-40614B8DA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5500" y="2171700"/>
          <a:ext cx="3490262" cy="1844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showGridLines="0" tabSelected="1" zoomScaleNormal="100" workbookViewId="0">
      <selection activeCell="L4" sqref="L4"/>
    </sheetView>
  </sheetViews>
  <sheetFormatPr defaultColWidth="8.875" defaultRowHeight="14.25"/>
  <cols>
    <col min="1" max="1" width="11" style="1" customWidth="1"/>
    <col min="2" max="2" width="12.625" style="1" customWidth="1"/>
    <col min="3" max="3" width="12.875" style="1" customWidth="1"/>
    <col min="4" max="4" width="8.875" style="1" customWidth="1"/>
    <col min="5" max="5" width="5.25" style="1" customWidth="1"/>
    <col min="6" max="6" width="11.5" style="1" customWidth="1"/>
    <col min="7" max="7" width="14" style="1" customWidth="1"/>
    <col min="8" max="8" width="12.5" style="1" customWidth="1"/>
    <col min="9" max="9" width="12.875" style="1" customWidth="1"/>
    <col min="10" max="10" width="4.125" style="1" customWidth="1"/>
    <col min="11" max="11" width="14.125" style="1" customWidth="1"/>
    <col min="12" max="12" width="14.625" style="1" customWidth="1"/>
    <col min="13" max="13" width="10.5" style="1" customWidth="1"/>
    <col min="14" max="14" width="8.875" style="1"/>
    <col min="15" max="15" width="9.375" style="1" bestFit="1" customWidth="1"/>
    <col min="16" max="16384" width="8.875" style="1"/>
  </cols>
  <sheetData>
    <row r="1" spans="1:16" ht="22.9" customHeight="1">
      <c r="A1" s="30" t="s">
        <v>33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6" s="34" customFormat="1" ht="6.6" customHeight="1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spans="1:16" ht="19.149999999999999" customHeight="1">
      <c r="B3" s="42" t="s">
        <v>20</v>
      </c>
      <c r="C3" s="42"/>
      <c r="D3" s="2"/>
      <c r="F3" s="42" t="s">
        <v>21</v>
      </c>
      <c r="G3" s="42"/>
      <c r="H3" s="2"/>
      <c r="K3" s="17" t="s">
        <v>24</v>
      </c>
      <c r="L3" s="18"/>
    </row>
    <row r="4" spans="1:16" ht="15">
      <c r="B4" s="13" t="s">
        <v>0</v>
      </c>
      <c r="C4" s="3">
        <v>5000000</v>
      </c>
      <c r="D4" s="4">
        <v>0.13</v>
      </c>
      <c r="F4" s="13" t="s">
        <v>0</v>
      </c>
      <c r="G4" s="3">
        <v>2400000</v>
      </c>
      <c r="H4" s="4">
        <v>0.13</v>
      </c>
      <c r="K4" s="19" t="s">
        <v>23</v>
      </c>
      <c r="L4" s="18">
        <f>I24-D24</f>
        <v>442000</v>
      </c>
    </row>
    <row r="5" spans="1:16" ht="15">
      <c r="B5" s="13" t="s">
        <v>25</v>
      </c>
      <c r="C5" s="3">
        <v>5000000</v>
      </c>
      <c r="D5" s="5">
        <v>0.15</v>
      </c>
      <c r="F5" s="13" t="s">
        <v>0</v>
      </c>
      <c r="G5" s="3">
        <v>5000000</v>
      </c>
      <c r="H5" s="5">
        <v>0.15</v>
      </c>
      <c r="K5" s="19" t="s">
        <v>26</v>
      </c>
      <c r="L5" s="18">
        <f>L4/12</f>
        <v>36833.333333333336</v>
      </c>
    </row>
    <row r="6" spans="1:16">
      <c r="C6" s="3"/>
      <c r="D6" s="4"/>
      <c r="F6" s="13" t="s">
        <v>0</v>
      </c>
      <c r="G6" s="3">
        <v>20000000</v>
      </c>
      <c r="H6" s="6">
        <v>0.18</v>
      </c>
    </row>
    <row r="7" spans="1:16">
      <c r="C7" s="3"/>
      <c r="D7" s="4"/>
      <c r="F7" s="13" t="s">
        <v>0</v>
      </c>
      <c r="G7" s="3">
        <v>50000000</v>
      </c>
      <c r="H7" s="7">
        <v>0.2</v>
      </c>
    </row>
    <row r="8" spans="1:16">
      <c r="C8" s="3"/>
      <c r="D8" s="11"/>
      <c r="F8" s="13" t="s">
        <v>1</v>
      </c>
      <c r="G8" s="3">
        <v>50000000</v>
      </c>
      <c r="H8" s="8">
        <v>0.22</v>
      </c>
    </row>
    <row r="9" spans="1:16" ht="15.75" thickBot="1">
      <c r="F9" s="41"/>
      <c r="G9" s="41"/>
      <c r="H9" s="12"/>
    </row>
    <row r="10" spans="1:16" ht="44.45" customHeight="1">
      <c r="A10" s="14"/>
      <c r="B10" s="15" t="s">
        <v>15</v>
      </c>
      <c r="C10" s="15" t="s">
        <v>14</v>
      </c>
      <c r="D10" s="15" t="s">
        <v>19</v>
      </c>
      <c r="E10" s="16"/>
      <c r="F10" s="15" t="s">
        <v>16</v>
      </c>
      <c r="G10" s="15" t="s">
        <v>17</v>
      </c>
      <c r="H10" s="15" t="s">
        <v>22</v>
      </c>
      <c r="I10" s="15" t="s">
        <v>19</v>
      </c>
      <c r="J10" s="21"/>
      <c r="K10" s="22" t="s">
        <v>27</v>
      </c>
      <c r="L10" s="22" t="s">
        <v>28</v>
      </c>
      <c r="M10" s="22" t="s">
        <v>29</v>
      </c>
    </row>
    <row r="11" spans="1:16" ht="15">
      <c r="B11" s="2"/>
      <c r="C11" s="2"/>
      <c r="D11" s="2"/>
      <c r="F11" s="2"/>
      <c r="G11" s="2"/>
      <c r="K11" s="23"/>
      <c r="L11" s="23"/>
      <c r="M11" s="24"/>
    </row>
    <row r="12" spans="1:16" ht="15">
      <c r="A12" s="10" t="s">
        <v>2</v>
      </c>
      <c r="B12" s="20">
        <v>1500000</v>
      </c>
      <c r="C12" s="3">
        <f>B12</f>
        <v>1500000</v>
      </c>
      <c r="D12" s="1">
        <f>IF(C11&gt;=$C$5,B12*$D$5,IF(C12&lt;$C$5,B12*$D$4,((C12-$C$5)*$D$5+(B12-(C12-$C$5))*$D$4)))</f>
        <v>195000</v>
      </c>
      <c r="F12" s="3">
        <f>B12</f>
        <v>1500000</v>
      </c>
      <c r="G12" s="3">
        <f>F12</f>
        <v>1500000</v>
      </c>
      <c r="H12" s="1" cm="1">
        <f t="array" ref="H12">_xlfn.IFS(AND(G11&lt;$G$4,G12&lt;$G$4),$H$4,AND(G11&lt;$G$4,G12&gt;=$G$4,G12&lt;$G$5),"переход на 15",AND(G11&gt;=$G$4,G12&lt;$G$5),$H$5,AND(G11&lt;$G$5,G12&gt;=$G$5,G12&lt;$G$6),"переход на 18",AND(G11&gt;=$G$5,G12&lt;$G$6),$H$6,AND(G11&lt;$G$6,G12&gt;=$G$6,G12&lt;$G$7),"переход на 20",AND(G11&gt;=$G$6,G12&lt;$G$7),$H$7,AND(G11&lt;$G$7,G12&gt;=$G$7),"переход на 22",G11&gt;=$G$7,$H$8)</f>
        <v>0.13</v>
      </c>
      <c r="I12" s="3" cm="1">
        <f t="array" ref="I12">_xlfn.IFS(H12=$H$4,F12*$H$4,H12="переход на 15",((G12-$G$4)*$H$5+(F12-(G12-$G$4))*$H$4),H12=$H$5,F12*$H$5,H12="переход на 18",((G12-$G$5)*$H$6+(F12-(G12-$G$5))*$H$5),H12=$H$6,F12*$H$6,H12="переход на 20",((G12-$G$6)*$H$7+(F12-(G12-$G$6))*$H$6),H12=$H$7,F12*$H$7,H12="переход на 22",((G12-$G$7)*$H$8+(F12-(G12-$G$7))*$H$7),H12=$H$8,F12*$H$8)</f>
        <v>195000</v>
      </c>
      <c r="J12" s="3"/>
      <c r="K12" s="3">
        <f>B12-D12</f>
        <v>1305000</v>
      </c>
      <c r="L12" s="3">
        <f>F12-I12</f>
        <v>1305000</v>
      </c>
      <c r="M12" s="3">
        <f>L12-K12</f>
        <v>0</v>
      </c>
    </row>
    <row r="13" spans="1:16" ht="15">
      <c r="A13" s="10" t="s">
        <v>3</v>
      </c>
      <c r="B13" s="20">
        <v>1500000</v>
      </c>
      <c r="C13" s="3">
        <f>C12+B13</f>
        <v>3000000</v>
      </c>
      <c r="D13" s="1">
        <f t="shared" ref="D13:D23" si="0">IF(C12&gt;=$C$5,B13*$D$5,IF(C13&lt;$C$5,B13*$D$4,((C13-$C$5)*$D$5+(B13-(C13-$C$5))*$D$4)))</f>
        <v>195000</v>
      </c>
      <c r="F13" s="3">
        <f t="shared" ref="F13:F23" si="1">B13</f>
        <v>1500000</v>
      </c>
      <c r="G13" s="3">
        <f>G12+F13</f>
        <v>3000000</v>
      </c>
      <c r="H13" s="1" t="str" cm="1">
        <f t="array" ref="H13">_xlfn.IFS(AND(G12&lt;$G$4,G13&lt;$G$4),$H$4,AND(G12&lt;$G$4,G13&gt;=$G$4,G13&lt;$G$5),"переход на 15",AND(G12&gt;=$G$4,G13&lt;$G$5),$H$5,AND(G12&lt;$G$5,G13&gt;=$G$5,G13&lt;$G$6),"переход на 18",AND(G12&gt;=$G$5,G13&lt;$G$6),$H$6,AND(G12&lt;$G$6,G13&gt;=$G$6,G13&lt;$G$7),"переход на 20",AND(G12&gt;=$G$6,G13&lt;$G$7),$H$7,AND(G12&lt;$G$7,G13&gt;=$G$7),"переход на 22",G12&gt;=$G$7,$H$8)</f>
        <v>переход на 15</v>
      </c>
      <c r="I13" s="3" cm="1">
        <f t="array" ref="I13">_xlfn.IFS(H13=$H$4,F13*$H$4,H13="переход на 15",((G13-$G$4)*$H$5+(F13-(G13-$G$4))*$H$4),H13=$H$5,F13*$H$5,H13="переход на 18",((G13-$G$5)*$H$6+(F13-(G13-$G$5))*$H$5),H13=$H$6,F13*$H$6,H13="переход на 20",((G13-$G$6)*$H$7+(F13-(G13-$G$6))*$H$6),H13=$H$7,F13*$H$7,H13="переход на 22",((G13-$G$7)*$H$8+(F13-(G13-$G$7))*$H$7),H13=$H$8,F13*$H$8)</f>
        <v>207000</v>
      </c>
      <c r="J13" s="3"/>
      <c r="K13" s="3">
        <f t="shared" ref="K13:K23" si="2">B13-D13</f>
        <v>1305000</v>
      </c>
      <c r="L13" s="3">
        <f t="shared" ref="L13:L23" si="3">F13-I13</f>
        <v>1293000</v>
      </c>
      <c r="M13" s="3">
        <f t="shared" ref="M13:M23" si="4">L13-K13</f>
        <v>-12000</v>
      </c>
    </row>
    <row r="14" spans="1:16" ht="15">
      <c r="A14" s="10" t="s">
        <v>4</v>
      </c>
      <c r="B14" s="20">
        <v>1500000</v>
      </c>
      <c r="C14" s="3">
        <f t="shared" ref="C14:C23" si="5">C13+B14</f>
        <v>4500000</v>
      </c>
      <c r="D14" s="1">
        <f t="shared" si="0"/>
        <v>195000</v>
      </c>
      <c r="F14" s="3">
        <f t="shared" si="1"/>
        <v>1500000</v>
      </c>
      <c r="G14" s="3">
        <f t="shared" ref="G14:G23" si="6">G13+F14</f>
        <v>4500000</v>
      </c>
      <c r="H14" s="1" cm="1">
        <f t="array" ref="H14">_xlfn.IFS(AND(G13&lt;$G$4,G14&lt;$G$4),$H$4,AND(G13&lt;$G$4,G14&gt;=$G$4,G14&lt;$G$5),"переход на 15",AND(G13&gt;=$G$4,G14&lt;$G$5),$H$5,AND(G13&lt;$G$5,G14&gt;=$G$5,G14&lt;$G$6),"переход на 18",AND(G13&gt;=$G$5,G14&lt;$G$6),$H$6,AND(G13&lt;$G$6,G14&gt;=$G$6,G14&lt;$G$7),"переход на 20",AND(G13&gt;=$G$6,G14&lt;$G$7),$H$7,AND(G13&lt;$G$7,G14&gt;=$G$7),"переход на 22",G13&gt;=$G$7,$H$8)</f>
        <v>0.15</v>
      </c>
      <c r="I14" s="3" cm="1">
        <f t="array" ref="I14">_xlfn.IFS(H14=$H$4,F14*$H$4,H14="переход на 15",((G14-$G$4)*$H$5+(F14-(G14-$G$4))*$H$4),H14=$H$5,F14*$H$5,H14="переход на 18",((G14-$G$5)*$H$6+(F14-(G14-$G$5))*$H$5),H14=$H$6,F14*$H$6,H14="переход на 20",((G14-$G$6)*$H$7+(F14-(G14-$G$6))*$H$6),H14=$H$7,F14*$H$7,H14="переход на 22",((G14-$G$7)*$H$8+(F14-(G14-$G$7))*$H$7),H14=$H$8,F14*$H$8)</f>
        <v>225000</v>
      </c>
      <c r="J14" s="3"/>
      <c r="K14" s="3">
        <f t="shared" si="2"/>
        <v>1305000</v>
      </c>
      <c r="L14" s="3">
        <f t="shared" si="3"/>
        <v>1275000</v>
      </c>
      <c r="M14" s="3">
        <f t="shared" si="4"/>
        <v>-30000</v>
      </c>
      <c r="O14" s="3"/>
      <c r="P14" s="3"/>
    </row>
    <row r="15" spans="1:16" ht="15">
      <c r="A15" s="10" t="s">
        <v>5</v>
      </c>
      <c r="B15" s="20">
        <v>1500000</v>
      </c>
      <c r="C15" s="3">
        <f t="shared" si="5"/>
        <v>6000000</v>
      </c>
      <c r="D15" s="1">
        <f t="shared" si="0"/>
        <v>215000</v>
      </c>
      <c r="F15" s="3">
        <f t="shared" si="1"/>
        <v>1500000</v>
      </c>
      <c r="G15" s="3">
        <f t="shared" si="6"/>
        <v>6000000</v>
      </c>
      <c r="H15" s="1" t="str" cm="1">
        <f t="array" ref="H15">_xlfn.IFS(AND(G14&lt;$G$4,G15&lt;$G$4),$H$4,AND(G14&lt;$G$4,G15&gt;=$G$4,G15&lt;$G$5),"переход на 15",AND(G14&gt;=$G$4,G15&lt;$G$5),$H$5,AND(G14&lt;$G$5,G15&gt;=$G$5,G15&lt;$G$6),"переход на 18",AND(G14&gt;=$G$5,G15&lt;$G$6),$H$6,AND(G14&lt;$G$6,G15&gt;=$G$6,G15&lt;$G$7),"переход на 20",AND(G14&gt;=$G$6,G15&lt;$G$7),$H$7,AND(G14&lt;$G$7,G15&gt;=$G$7),"переход на 22",G14&gt;=$G$7,$H$8)</f>
        <v>переход на 18</v>
      </c>
      <c r="I15" s="3" cm="1">
        <f t="array" ref="I15">_xlfn.IFS(H15=$H$4,F15*$H$4,H15="переход на 15",((G15-$G$4)*$H$5+(F15-(G15-$G$4))*$H$4),H15=$H$5,F15*$H$5,H15="переход на 18",((G15-$G$5)*$H$6+(F15-(G15-$G$5))*$H$5),H15=$H$6,F15*$H$6,H15="переход на 20",((G15-$G$6)*$H$7+(F15-(G15-$G$6))*$H$6),H15=$H$7,F15*$H$7,H15="переход на 22",((G15-$G$7)*$H$8+(F15-(G15-$G$7))*$H$7),H15=$H$8,F15*$H$8)</f>
        <v>255000</v>
      </c>
      <c r="J15" s="3"/>
      <c r="K15" s="3">
        <f t="shared" si="2"/>
        <v>1285000</v>
      </c>
      <c r="L15" s="3">
        <f t="shared" si="3"/>
        <v>1245000</v>
      </c>
      <c r="M15" s="3">
        <f t="shared" si="4"/>
        <v>-40000</v>
      </c>
    </row>
    <row r="16" spans="1:16" ht="15">
      <c r="A16" s="10" t="s">
        <v>6</v>
      </c>
      <c r="B16" s="20">
        <v>1500000</v>
      </c>
      <c r="C16" s="3">
        <f t="shared" si="5"/>
        <v>7500000</v>
      </c>
      <c r="D16" s="1">
        <f t="shared" si="0"/>
        <v>225000</v>
      </c>
      <c r="F16" s="3">
        <f t="shared" si="1"/>
        <v>1500000</v>
      </c>
      <c r="G16" s="3">
        <f t="shared" si="6"/>
        <v>7500000</v>
      </c>
      <c r="H16" s="1" cm="1">
        <f t="array" ref="H16">_xlfn.IFS(AND(G15&lt;$G$4,G16&lt;$G$4),$H$4,AND(G15&lt;$G$4,G16&gt;=$G$4,G16&lt;$G$5),"переход на 15",AND(G15&gt;=$G$4,G16&lt;$G$5),$H$5,AND(G15&lt;$G$5,G16&gt;=$G$5,G16&lt;$G$6),"переход на 18",AND(G15&gt;=$G$5,G16&lt;$G$6),$H$6,AND(G15&lt;$G$6,G16&gt;=$G$6,G16&lt;$G$7),"переход на 20",AND(G15&gt;=$G$6,G16&lt;$G$7),$H$7,AND(G15&lt;$G$7,G16&gt;=$G$7),"переход на 22",G15&gt;=$G$7,$H$8)</f>
        <v>0.18</v>
      </c>
      <c r="I16" s="3" cm="1">
        <f t="array" ref="I16">_xlfn.IFS(H16=$H$4,F16*$H$4,H16="переход на 15",((G16-$G$4)*$H$5+(F16-(G16-$G$4))*$H$4),H16=$H$5,F16*$H$5,H16="переход на 18",((G16-$G$5)*$H$6+(F16-(G16-$G$5))*$H$5),H16=$H$6,F16*$H$6,H16="переход на 20",((G16-$G$6)*$H$7+(F16-(G16-$G$6))*$H$6),H16=$H$7,F16*$H$7,H16="переход на 22",((G16-$G$7)*$H$8+(F16-(G16-$G$7))*$H$7),H16=$H$8,F16*$H$8)</f>
        <v>270000</v>
      </c>
      <c r="J16" s="3"/>
      <c r="K16" s="3">
        <f t="shared" si="2"/>
        <v>1275000</v>
      </c>
      <c r="L16" s="3">
        <f t="shared" si="3"/>
        <v>1230000</v>
      </c>
      <c r="M16" s="3">
        <f t="shared" si="4"/>
        <v>-45000</v>
      </c>
    </row>
    <row r="17" spans="1:15" ht="15">
      <c r="A17" s="10" t="s">
        <v>7</v>
      </c>
      <c r="B17" s="20">
        <v>1500000</v>
      </c>
      <c r="C17" s="3">
        <f t="shared" si="5"/>
        <v>9000000</v>
      </c>
      <c r="D17" s="1">
        <f t="shared" si="0"/>
        <v>225000</v>
      </c>
      <c r="F17" s="3">
        <f t="shared" si="1"/>
        <v>1500000</v>
      </c>
      <c r="G17" s="3">
        <f t="shared" si="6"/>
        <v>9000000</v>
      </c>
      <c r="H17" s="1" cm="1">
        <f t="array" ref="H17">_xlfn.IFS(AND(G16&lt;$G$4,G17&lt;$G$4),$H$4,AND(G16&lt;$G$4,G17&gt;=$G$4,G17&lt;$G$5),"переход на 15",AND(G16&gt;=$G$4,G17&lt;$G$5),$H$5,AND(G16&lt;$G$5,G17&gt;=$G$5,G17&lt;$G$6),"переход на 18",AND(G16&gt;=$G$5,G17&lt;$G$6),$H$6,AND(G16&lt;$G$6,G17&gt;=$G$6,G17&lt;$G$7),"переход на 20",AND(G16&gt;=$G$6,G17&lt;$G$7),$H$7,AND(G16&lt;$G$7,G17&gt;=$G$7),"переход на 22",G16&gt;=$G$7,$H$8)</f>
        <v>0.18</v>
      </c>
      <c r="I17" s="3" cm="1">
        <f t="array" ref="I17">_xlfn.IFS(H17=$H$4,F17*$H$4,H17="переход на 15",((G17-$G$4)*$H$5+(F17-(G17-$G$4))*$H$4),H17=$H$5,F17*$H$5,H17="переход на 18",((G17-$G$5)*$H$6+(F17-(G17-$G$5))*$H$5),H17=$H$6,F17*$H$6,H17="переход на 20",((G17-$G$6)*$H$7+(F17-(G17-$G$6))*$H$6),H17=$H$7,F17*$H$7,H17="переход на 22",((G17-$G$7)*$H$8+(F17-(G17-$G$7))*$H$7),H17=$H$8,F17*$H$8)</f>
        <v>270000</v>
      </c>
      <c r="J17" s="3"/>
      <c r="K17" s="3">
        <f t="shared" si="2"/>
        <v>1275000</v>
      </c>
      <c r="L17" s="3">
        <f t="shared" si="3"/>
        <v>1230000</v>
      </c>
      <c r="M17" s="3">
        <f t="shared" si="4"/>
        <v>-45000</v>
      </c>
    </row>
    <row r="18" spans="1:15" ht="15">
      <c r="A18" s="10" t="s">
        <v>8</v>
      </c>
      <c r="B18" s="20">
        <v>1500000</v>
      </c>
      <c r="C18" s="3">
        <f t="shared" si="5"/>
        <v>10500000</v>
      </c>
      <c r="D18" s="1">
        <f t="shared" si="0"/>
        <v>225000</v>
      </c>
      <c r="F18" s="3">
        <f t="shared" si="1"/>
        <v>1500000</v>
      </c>
      <c r="G18" s="3">
        <f t="shared" si="6"/>
        <v>10500000</v>
      </c>
      <c r="H18" s="1" cm="1">
        <f t="array" ref="H18">_xlfn.IFS(AND(G17&lt;$G$4,G18&lt;$G$4),$H$4,AND(G17&lt;$G$4,G18&gt;=$G$4,G18&lt;$G$5),"переход на 15",AND(G17&gt;=$G$4,G18&lt;$G$5),$H$5,AND(G17&lt;$G$5,G18&gt;=$G$5,G18&lt;$G$6),"переход на 18",AND(G17&gt;=$G$5,G18&lt;$G$6),$H$6,AND(G17&lt;$G$6,G18&gt;=$G$6,G18&lt;$G$7),"переход на 20",AND(G17&gt;=$G$6,G18&lt;$G$7),$H$7,AND(G17&lt;$G$7,G18&gt;=$G$7),"переход на 22",G17&gt;=$G$7,$H$8)</f>
        <v>0.18</v>
      </c>
      <c r="I18" s="3" cm="1">
        <f t="array" ref="I18">_xlfn.IFS(H18=$H$4,F18*$H$4,H18="переход на 15",((G18-$G$4)*$H$5+(F18-(G18-$G$4))*$H$4),H18=$H$5,F18*$H$5,H18="переход на 18",((G18-$G$5)*$H$6+(F18-(G18-$G$5))*$H$5),H18=$H$6,F18*$H$6,H18="переход на 20",((G18-$G$6)*$H$7+(F18-(G18-$G$6))*$H$6),H18=$H$7,F18*$H$7,H18="переход на 22",((G18-$G$7)*$H$8+(F18-(G18-$G$7))*$H$7),H18=$H$8,F18*$H$8)</f>
        <v>270000</v>
      </c>
      <c r="J18" s="3"/>
      <c r="K18" s="3">
        <f t="shared" si="2"/>
        <v>1275000</v>
      </c>
      <c r="L18" s="3">
        <f t="shared" si="3"/>
        <v>1230000</v>
      </c>
      <c r="M18" s="3">
        <f t="shared" si="4"/>
        <v>-45000</v>
      </c>
    </row>
    <row r="19" spans="1:15" ht="15">
      <c r="A19" s="10" t="s">
        <v>9</v>
      </c>
      <c r="B19" s="20">
        <v>1500000</v>
      </c>
      <c r="C19" s="3">
        <f t="shared" si="5"/>
        <v>12000000</v>
      </c>
      <c r="D19" s="1">
        <f t="shared" si="0"/>
        <v>225000</v>
      </c>
      <c r="F19" s="3">
        <f t="shared" si="1"/>
        <v>1500000</v>
      </c>
      <c r="G19" s="3">
        <f t="shared" si="6"/>
        <v>12000000</v>
      </c>
      <c r="H19" s="1" cm="1">
        <f t="array" ref="H19">_xlfn.IFS(AND(G18&lt;$G$4,G19&lt;$G$4),$H$4,AND(G18&lt;$G$4,G19&gt;=$G$4,G19&lt;$G$5),"переход на 15",AND(G18&gt;=$G$4,G19&lt;$G$5),$H$5,AND(G18&lt;$G$5,G19&gt;=$G$5,G19&lt;$G$6),"переход на 18",AND(G18&gt;=$G$5,G19&lt;$G$6),$H$6,AND(G18&lt;$G$6,G19&gt;=$G$6,G19&lt;$G$7),"переход на 20",AND(G18&gt;=$G$6,G19&lt;$G$7),$H$7,AND(G18&lt;$G$7,G19&gt;=$G$7),"переход на 22",G18&gt;=$G$7,$H$8)</f>
        <v>0.18</v>
      </c>
      <c r="I19" s="3" cm="1">
        <f t="array" ref="I19">_xlfn.IFS(H19=$H$4,F19*$H$4,H19="переход на 15",((G19-$G$4)*$H$5+(F19-(G19-$G$4))*$H$4),H19=$H$5,F19*$H$5,H19="переход на 18",((G19-$G$5)*$H$6+(F19-(G19-$G$5))*$H$5),H19=$H$6,F19*$H$6,H19="переход на 20",((G19-$G$6)*$H$7+(F19-(G19-$G$6))*$H$6),H19=$H$7,F19*$H$7,H19="переход на 22",((G19-$G$7)*$H$8+(F19-(G19-$G$7))*$H$7),H19=$H$8,F19*$H$8)</f>
        <v>270000</v>
      </c>
      <c r="J19" s="3"/>
      <c r="K19" s="3">
        <f t="shared" si="2"/>
        <v>1275000</v>
      </c>
      <c r="L19" s="3">
        <f t="shared" si="3"/>
        <v>1230000</v>
      </c>
      <c r="M19" s="3">
        <f t="shared" si="4"/>
        <v>-45000</v>
      </c>
    </row>
    <row r="20" spans="1:15" ht="15">
      <c r="A20" s="10" t="s">
        <v>10</v>
      </c>
      <c r="B20" s="20">
        <v>1500000</v>
      </c>
      <c r="C20" s="3">
        <f t="shared" si="5"/>
        <v>13500000</v>
      </c>
      <c r="D20" s="1">
        <f t="shared" si="0"/>
        <v>225000</v>
      </c>
      <c r="F20" s="3">
        <f t="shared" si="1"/>
        <v>1500000</v>
      </c>
      <c r="G20" s="3">
        <f t="shared" si="6"/>
        <v>13500000</v>
      </c>
      <c r="H20" s="1" cm="1">
        <f t="array" ref="H20">_xlfn.IFS(AND(G19&lt;$G$4,G20&lt;$G$4),$H$4,AND(G19&lt;$G$4,G20&gt;=$G$4,G20&lt;$G$5),"переход на 15",AND(G19&gt;=$G$4,G20&lt;$G$5),$H$5,AND(G19&lt;$G$5,G20&gt;=$G$5,G20&lt;$G$6),"переход на 18",AND(G19&gt;=$G$5,G20&lt;$G$6),$H$6,AND(G19&lt;$G$6,G20&gt;=$G$6,G20&lt;$G$7),"переход на 20",AND(G19&gt;=$G$6,G20&lt;$G$7),$H$7,AND(G19&lt;$G$7,G20&gt;=$G$7),"переход на 22",G19&gt;=$G$7,$H$8)</f>
        <v>0.18</v>
      </c>
      <c r="I20" s="3" cm="1">
        <f t="array" ref="I20">_xlfn.IFS(H20=$H$4,F20*$H$4,H20="переход на 15",((G20-$G$4)*$H$5+(F20-(G20-$G$4))*$H$4),H20=$H$5,F20*$H$5,H20="переход на 18",((G20-$G$5)*$H$6+(F20-(G20-$G$5))*$H$5),H20=$H$6,F20*$H$6,H20="переход на 20",((G20-$G$6)*$H$7+(F20-(G20-$G$6))*$H$6),H20=$H$7,F20*$H$7,H20="переход на 22",((G20-$G$7)*$H$8+(F20-(G20-$G$7))*$H$7),H20=$H$8,F20*$H$8)</f>
        <v>270000</v>
      </c>
      <c r="J20" s="3"/>
      <c r="K20" s="3">
        <f t="shared" si="2"/>
        <v>1275000</v>
      </c>
      <c r="L20" s="3">
        <f t="shared" si="3"/>
        <v>1230000</v>
      </c>
      <c r="M20" s="3">
        <f t="shared" si="4"/>
        <v>-45000</v>
      </c>
      <c r="O20" s="3"/>
    </row>
    <row r="21" spans="1:15" ht="15">
      <c r="A21" s="10" t="s">
        <v>11</v>
      </c>
      <c r="B21" s="20">
        <v>1500000</v>
      </c>
      <c r="C21" s="3">
        <f t="shared" si="5"/>
        <v>15000000</v>
      </c>
      <c r="D21" s="1">
        <f t="shared" si="0"/>
        <v>225000</v>
      </c>
      <c r="F21" s="3">
        <f t="shared" si="1"/>
        <v>1500000</v>
      </c>
      <c r="G21" s="3">
        <f t="shared" si="6"/>
        <v>15000000</v>
      </c>
      <c r="H21" s="1" cm="1">
        <f t="array" ref="H21">_xlfn.IFS(AND(G20&lt;$G$4,G21&lt;$G$4),$H$4,AND(G20&lt;$G$4,G21&gt;=$G$4,G21&lt;$G$5),"переход на 15",AND(G20&gt;=$G$4,G21&lt;$G$5),$H$5,AND(G20&lt;$G$5,G21&gt;=$G$5,G21&lt;$G$6),"переход на 18",AND(G20&gt;=$G$5,G21&lt;$G$6),$H$6,AND(G20&lt;$G$6,G21&gt;=$G$6,G21&lt;$G$7),"переход на 20",AND(G20&gt;=$G$6,G21&lt;$G$7),$H$7,AND(G20&lt;$G$7,G21&gt;=$G$7),"переход на 22",G20&gt;=$G$7,$H$8)</f>
        <v>0.18</v>
      </c>
      <c r="I21" s="3" cm="1">
        <f t="array" ref="I21">_xlfn.IFS(H21=$H$4,F21*$H$4,H21="переход на 15",((G21-$G$4)*$H$5+(F21-(G21-$G$4))*$H$4),H21=$H$5,F21*$H$5,H21="переход на 18",((G21-$G$5)*$H$6+(F21-(G21-$G$5))*$H$5),H21=$H$6,F21*$H$6,H21="переход на 20",((G21-$G$6)*$H$7+(F21-(G21-$G$6))*$H$6),H21=$H$7,F21*$H$7,H21="переход на 22",((G21-$G$7)*$H$8+(F21-(G21-$G$7))*$H$7),H21=$H$8,F21*$H$8)</f>
        <v>270000</v>
      </c>
      <c r="J21" s="3"/>
      <c r="K21" s="3">
        <f t="shared" si="2"/>
        <v>1275000</v>
      </c>
      <c r="L21" s="3">
        <f t="shared" si="3"/>
        <v>1230000</v>
      </c>
      <c r="M21" s="3">
        <f t="shared" si="4"/>
        <v>-45000</v>
      </c>
    </row>
    <row r="22" spans="1:15" ht="15">
      <c r="A22" s="10" t="s">
        <v>12</v>
      </c>
      <c r="B22" s="20">
        <v>1500000</v>
      </c>
      <c r="C22" s="3">
        <f t="shared" si="5"/>
        <v>16500000</v>
      </c>
      <c r="D22" s="1">
        <f t="shared" si="0"/>
        <v>225000</v>
      </c>
      <c r="F22" s="3">
        <f t="shared" si="1"/>
        <v>1500000</v>
      </c>
      <c r="G22" s="3">
        <f t="shared" si="6"/>
        <v>16500000</v>
      </c>
      <c r="H22" s="1" cm="1">
        <f t="array" ref="H22">_xlfn.IFS(AND(G21&lt;$G$4,G22&lt;$G$4),$H$4,AND(G21&lt;$G$4,G22&gt;=$G$4,G22&lt;$G$5),"переход на 15",AND(G21&gt;=$G$4,G22&lt;$G$5),$H$5,AND(G21&lt;$G$5,G22&gt;=$G$5,G22&lt;$G$6),"переход на 18",AND(G21&gt;=$G$5,G22&lt;$G$6),$H$6,AND(G21&lt;$G$6,G22&gt;=$G$6,G22&lt;$G$7),"переход на 20",AND(G21&gt;=$G$6,G22&lt;$G$7),$H$7,AND(G21&lt;$G$7,G22&gt;=$G$7),"переход на 22",G21&gt;=$G$7,$H$8)</f>
        <v>0.18</v>
      </c>
      <c r="I22" s="3" cm="1">
        <f t="array" ref="I22">_xlfn.IFS(H22=$H$4,F22*$H$4,H22="переход на 15",((G22-$G$4)*$H$5+(F22-(G22-$G$4))*$H$4),H22=$H$5,F22*$H$5,H22="переход на 18",((G22-$G$5)*$H$6+(F22-(G22-$G$5))*$H$5),H22=$H$6,F22*$H$6,H22="переход на 20",((G22-$G$6)*$H$7+(F22-(G22-$G$6))*$H$6),H22=$H$7,F22*$H$7,H22="переход на 22",((G22-$G$7)*$H$8+(F22-(G22-$G$7))*$H$7),H22=$H$8,F22*$H$8)</f>
        <v>270000</v>
      </c>
      <c r="J22" s="3"/>
      <c r="K22" s="3">
        <f t="shared" si="2"/>
        <v>1275000</v>
      </c>
      <c r="L22" s="3">
        <f t="shared" si="3"/>
        <v>1230000</v>
      </c>
      <c r="M22" s="3">
        <f t="shared" si="4"/>
        <v>-45000</v>
      </c>
    </row>
    <row r="23" spans="1:15" ht="15">
      <c r="A23" s="10" t="s">
        <v>13</v>
      </c>
      <c r="B23" s="20">
        <v>1500000</v>
      </c>
      <c r="C23" s="3">
        <f t="shared" si="5"/>
        <v>18000000</v>
      </c>
      <c r="D23" s="1">
        <f t="shared" si="0"/>
        <v>225000</v>
      </c>
      <c r="F23" s="3">
        <f t="shared" si="1"/>
        <v>1500000</v>
      </c>
      <c r="G23" s="3">
        <f t="shared" si="6"/>
        <v>18000000</v>
      </c>
      <c r="H23" s="1" cm="1">
        <f t="array" ref="H23">_xlfn.IFS(AND(G22&lt;$G$4,G23&lt;$G$4),$H$4,AND(G22&lt;$G$4,G23&gt;=$G$4,G23&lt;$G$5),"переход на 15",AND(G22&gt;=$G$4,G23&lt;$G$5),$H$5,AND(G22&lt;$G$5,G23&gt;=$G$5,G23&lt;$G$6),"переход на 18",AND(G22&gt;=$G$5,G23&lt;$G$6),$H$6,AND(G22&lt;$G$6,G23&gt;=$G$6,G23&lt;$G$7),"переход на 20",AND(G22&gt;=$G$6,G23&lt;$G$7),$H$7,AND(G22&lt;$G$7,G23&gt;=$G$7),"переход на 22",G22&gt;=$G$7,$H$8)</f>
        <v>0.18</v>
      </c>
      <c r="I23" s="3" cm="1">
        <f t="array" ref="I23">_xlfn.IFS(H23=$H$4,F23*$H$4,H23="переход на 15",((G23-$G$4)*$H$5+(F23-(G23-$G$4))*$H$4),H23=$H$5,F23*$H$5,H23="переход на 18",((G23-$G$5)*$H$6+(F23-(G23-$G$5))*$H$5),H23=$H$6,F23*$H$6,H23="переход на 20",((G23-$G$6)*$H$7+(F23-(G23-$G$6))*$H$6),H23=$H$7,F23*$H$7,H23="переход на 22",((G23-$G$7)*$H$8+(F23-(G23-$G$7))*$H$7),H23=$H$8,F23*$H$8)</f>
        <v>270000</v>
      </c>
      <c r="J23" s="3"/>
      <c r="K23" s="3">
        <f t="shared" si="2"/>
        <v>1275000</v>
      </c>
      <c r="L23" s="3">
        <f t="shared" si="3"/>
        <v>1230000</v>
      </c>
      <c r="M23" s="3">
        <f t="shared" si="4"/>
        <v>-45000</v>
      </c>
    </row>
    <row r="24" spans="1:15" ht="15">
      <c r="A24" s="10" t="s">
        <v>18</v>
      </c>
      <c r="B24" s="9">
        <f>SUM(B12:B23)</f>
        <v>18000000</v>
      </c>
      <c r="D24" s="9">
        <f>SUM(D12:D23)</f>
        <v>2600000</v>
      </c>
      <c r="F24" s="9">
        <f>SUM(F12:F23)</f>
        <v>18000000</v>
      </c>
      <c r="H24" s="9"/>
      <c r="I24" s="9">
        <f>SUM(I12:I23)</f>
        <v>3042000</v>
      </c>
      <c r="J24" s="9"/>
      <c r="K24" s="9">
        <f>SUM(K12:K23)</f>
        <v>15400000</v>
      </c>
      <c r="L24" s="9">
        <f>SUM(L12:L23)</f>
        <v>14958000</v>
      </c>
      <c r="M24" s="9">
        <f>SUM(M12:M23)</f>
        <v>-442000</v>
      </c>
    </row>
  </sheetData>
  <mergeCells count="3">
    <mergeCell ref="F9:G9"/>
    <mergeCell ref="B3:C3"/>
    <mergeCell ref="F3:G3"/>
  </mergeCells>
  <phoneticPr fontId="2" type="noConversion"/>
  <conditionalFormatting sqref="C12:C23">
    <cfRule type="cellIs" dxfId="9" priority="14" operator="greaterThan">
      <formula>$G$5</formula>
    </cfRule>
  </conditionalFormatting>
  <conditionalFormatting sqref="G12:G23">
    <cfRule type="cellIs" dxfId="8" priority="10" operator="greaterThan">
      <formula>$G$7</formula>
    </cfRule>
    <cfRule type="cellIs" dxfId="7" priority="11" operator="greaterThan">
      <formula>$G$6</formula>
    </cfRule>
    <cfRule type="cellIs" dxfId="6" priority="12" operator="greaterThan">
      <formula>$G$5</formula>
    </cfRule>
    <cfRule type="cellIs" dxfId="5" priority="13" operator="greaterThan">
      <formula>$G$4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showGridLines="0" zoomScaleNormal="100" workbookViewId="0">
      <selection activeCell="P20" sqref="P20"/>
    </sheetView>
  </sheetViews>
  <sheetFormatPr defaultColWidth="8.875" defaultRowHeight="14.25"/>
  <cols>
    <col min="1" max="1" width="11" style="1" customWidth="1"/>
    <col min="2" max="2" width="12.625" style="1" customWidth="1"/>
    <col min="3" max="3" width="12.875" style="1" customWidth="1"/>
    <col min="4" max="4" width="8.875" style="1" customWidth="1"/>
    <col min="5" max="5" width="2.125" style="1" customWidth="1"/>
    <col min="6" max="6" width="11.5" style="1" customWidth="1"/>
    <col min="7" max="7" width="14" style="1" customWidth="1"/>
    <col min="8" max="8" width="12.5" style="1" customWidth="1"/>
    <col min="9" max="9" width="12.875" style="1" customWidth="1"/>
    <col min="10" max="10" width="1.5" style="1" customWidth="1"/>
    <col min="11" max="11" width="14.125" style="1" customWidth="1"/>
    <col min="12" max="12" width="14.625" style="1" customWidth="1"/>
    <col min="13" max="13" width="10.5" style="1" customWidth="1"/>
    <col min="14" max="14" width="2.5" style="1" customWidth="1"/>
    <col min="15" max="15" width="17.375" style="1" customWidth="1"/>
    <col min="16" max="16" width="13.625" style="1" customWidth="1"/>
    <col min="17" max="18" width="8.875" style="1"/>
    <col min="19" max="19" width="6.125" style="1" customWidth="1"/>
    <col min="20" max="16384" width="8.875" style="1"/>
  </cols>
  <sheetData>
    <row r="1" spans="1:19" ht="25.15" customHeight="1">
      <c r="A1" s="36" t="s">
        <v>34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9" s="26" customFormat="1" ht="7.9" customHeight="1">
      <c r="A2" s="35"/>
    </row>
    <row r="3" spans="1:19" ht="32.450000000000003" customHeight="1">
      <c r="B3" s="42" t="s">
        <v>20</v>
      </c>
      <c r="C3" s="42"/>
      <c r="D3" s="2"/>
      <c r="F3" s="42" t="s">
        <v>21</v>
      </c>
      <c r="G3" s="42"/>
      <c r="H3" s="2"/>
      <c r="K3" s="17" t="s">
        <v>39</v>
      </c>
      <c r="L3" s="18"/>
      <c r="M3" s="19"/>
      <c r="O3" s="43" t="s">
        <v>30</v>
      </c>
      <c r="P3" s="43"/>
      <c r="Q3" s="43"/>
      <c r="R3" s="43"/>
      <c r="S3" s="43"/>
    </row>
    <row r="4" spans="1:19" ht="15.75" thickBot="1">
      <c r="B4" s="13" t="s">
        <v>0</v>
      </c>
      <c r="C4" s="3">
        <v>5000000</v>
      </c>
      <c r="D4" s="4">
        <v>0.13</v>
      </c>
      <c r="F4" s="13" t="s">
        <v>0</v>
      </c>
      <c r="G4" s="3">
        <v>2400000</v>
      </c>
      <c r="H4" s="4">
        <v>0.13</v>
      </c>
      <c r="K4" s="19" t="s">
        <v>23</v>
      </c>
      <c r="L4" s="18">
        <f>L5*12</f>
        <v>14117.647058824346</v>
      </c>
      <c r="M4" s="19"/>
      <c r="O4" s="1" t="s">
        <v>35</v>
      </c>
    </row>
    <row r="5" spans="1:19" ht="15.75" thickBot="1">
      <c r="B5" s="13" t="s">
        <v>25</v>
      </c>
      <c r="C5" s="3">
        <v>5000000</v>
      </c>
      <c r="D5" s="5">
        <v>0.15</v>
      </c>
      <c r="F5" s="13" t="s">
        <v>0</v>
      </c>
      <c r="G5" s="3">
        <v>5000000</v>
      </c>
      <c r="H5" s="5">
        <v>0.15</v>
      </c>
      <c r="K5" s="19" t="s">
        <v>26</v>
      </c>
      <c r="L5" s="39">
        <v>1176.4705882353621</v>
      </c>
      <c r="M5" s="19"/>
      <c r="O5" s="34" t="s">
        <v>31</v>
      </c>
      <c r="P5" s="40"/>
      <c r="Q5" s="34"/>
      <c r="R5" s="34"/>
      <c r="S5" s="34"/>
    </row>
    <row r="6" spans="1:19" ht="15">
      <c r="C6" s="3"/>
      <c r="D6" s="4"/>
      <c r="F6" s="13" t="s">
        <v>0</v>
      </c>
      <c r="G6" s="3">
        <v>20000000</v>
      </c>
      <c r="H6" s="6">
        <v>0.18</v>
      </c>
      <c r="K6" s="25"/>
      <c r="L6" s="26"/>
      <c r="M6" s="26"/>
      <c r="O6" s="27" t="s">
        <v>36</v>
      </c>
    </row>
    <row r="7" spans="1:19">
      <c r="C7" s="3"/>
      <c r="D7" s="4"/>
      <c r="F7" s="13" t="s">
        <v>0</v>
      </c>
      <c r="G7" s="3">
        <v>50000000</v>
      </c>
      <c r="H7" s="7">
        <v>0.2</v>
      </c>
      <c r="K7" s="26"/>
      <c r="L7" s="26"/>
      <c r="M7" s="26"/>
      <c r="O7" s="43" t="s">
        <v>40</v>
      </c>
      <c r="P7" s="43"/>
      <c r="Q7" s="43"/>
      <c r="R7" s="43"/>
      <c r="S7" s="43"/>
    </row>
    <row r="8" spans="1:19" ht="15">
      <c r="C8" s="3"/>
      <c r="D8" s="11"/>
      <c r="F8" s="13" t="s">
        <v>1</v>
      </c>
      <c r="G8" s="3">
        <v>50000000</v>
      </c>
      <c r="H8" s="8">
        <v>0.22</v>
      </c>
      <c r="K8" s="26"/>
      <c r="L8" s="26"/>
      <c r="M8" s="26"/>
      <c r="O8" s="28" t="s">
        <v>37</v>
      </c>
    </row>
    <row r="9" spans="1:19" ht="15.75" thickBot="1">
      <c r="F9" s="41"/>
      <c r="G9" s="41"/>
      <c r="H9" s="12"/>
      <c r="O9" s="28" t="s">
        <v>32</v>
      </c>
    </row>
    <row r="10" spans="1:19" ht="44.45" customHeight="1">
      <c r="A10" s="14"/>
      <c r="B10" s="15" t="s">
        <v>15</v>
      </c>
      <c r="C10" s="15" t="s">
        <v>14</v>
      </c>
      <c r="D10" s="15" t="s">
        <v>19</v>
      </c>
      <c r="E10" s="16"/>
      <c r="F10" s="15" t="s">
        <v>16</v>
      </c>
      <c r="G10" s="15" t="s">
        <v>17</v>
      </c>
      <c r="H10" s="15" t="s">
        <v>22</v>
      </c>
      <c r="I10" s="15" t="s">
        <v>19</v>
      </c>
      <c r="J10" s="21"/>
      <c r="K10" s="22" t="s">
        <v>27</v>
      </c>
      <c r="L10" s="22" t="s">
        <v>28</v>
      </c>
      <c r="M10" s="22" t="s">
        <v>29</v>
      </c>
      <c r="O10" s="29" t="s">
        <v>38</v>
      </c>
      <c r="P10" s="3"/>
    </row>
    <row r="11" spans="1:19" ht="15">
      <c r="B11" s="2"/>
      <c r="C11" s="2"/>
      <c r="D11" s="2"/>
      <c r="F11" s="2"/>
      <c r="G11" s="2"/>
      <c r="K11" s="23"/>
      <c r="L11" s="23"/>
      <c r="M11" s="24"/>
    </row>
    <row r="12" spans="1:19" ht="15">
      <c r="A12" s="10" t="s">
        <v>2</v>
      </c>
      <c r="B12" s="20">
        <v>250000</v>
      </c>
      <c r="C12" s="3">
        <f>B12</f>
        <v>250000</v>
      </c>
      <c r="D12" s="1">
        <f>IF(C11&gt;=$C$5,B12*$D$5,IF(C12&lt;$C$5,B12*$D$4,((C12-$C$5)*$D$5+(B12-(C12-$C$5))*$D$4)))</f>
        <v>32500</v>
      </c>
      <c r="F12" s="3">
        <f>B12+$L$5</f>
        <v>251176.47058823536</v>
      </c>
      <c r="G12" s="3">
        <f>F12</f>
        <v>251176.47058823536</v>
      </c>
      <c r="H12" s="1" cm="1">
        <f t="array" ref="H12">_xlfn.IFS(AND(G11&lt;$G$4,G12&lt;$G$4),$H$4,AND(G11&lt;$G$4,G12&gt;=$G$4,G12&lt;$G$5),"переход на 15",AND(G11&gt;=$G$4,G12&lt;$G$5),$H$5,AND(G11&lt;$G$5,G12&gt;=$G$5,G12&lt;$G$6),"переход на 18",AND(G11&gt;=$G$5,G12&lt;$G$6),$H$6,AND(G11&lt;$G$6,G12&gt;=$G$6,G12&lt;$G$7),"переход на 20",AND(G11&gt;=$G$6,G12&lt;$G$7),$H$7,AND(G11&lt;$G$7,G12&gt;=$G$7),"переход на 22",G11&gt;=$G$7,$H$8)</f>
        <v>0.13</v>
      </c>
      <c r="I12" s="3" cm="1">
        <f t="array" ref="I12">_xlfn.IFS(H12=$H$4,F12*$H$4,H12="переход на 15",((G12-$G$4)*$H$5+(F12-(G12-$G$4))*$H$4),H12=$H$5,F12*$H$5,H12="переход на 18",((G12-$G$5)*$H$6+(F12-(G12-$G$5))*$H$5),H12=$H$6,F12*$H$6,H12="переход на 20",((G12-$G$6)*$H$7+(F12-(G12-$G$6))*$H$6),H12=$H$7,F12*$H$7,H12="переход на 22",((G12-$G$7)*$H$8+(F12-(G12-$G$7))*$H$7),H12=$H$8,F12*$H$8)</f>
        <v>32652.941176470598</v>
      </c>
      <c r="J12" s="3"/>
      <c r="K12" s="3">
        <f>B12-D12</f>
        <v>217500</v>
      </c>
      <c r="L12" s="3">
        <f>F12-I12</f>
        <v>218523.52941176476</v>
      </c>
      <c r="M12" s="3">
        <f>L12-K12</f>
        <v>1023.5294117647572</v>
      </c>
    </row>
    <row r="13" spans="1:19" ht="15">
      <c r="A13" s="10" t="s">
        <v>3</v>
      </c>
      <c r="B13" s="20">
        <v>250000</v>
      </c>
      <c r="C13" s="3">
        <f>C12+B13</f>
        <v>500000</v>
      </c>
      <c r="D13" s="1">
        <f t="shared" ref="D13:D23" si="0">IF(C12&gt;=$C$5,B13*$D$5,IF(C13&lt;$C$5,B13*$D$4,((C13-$C$5)*$D$5+(B13-(C13-$C$5))*$D$4)))</f>
        <v>32500</v>
      </c>
      <c r="F13" s="3">
        <f t="shared" ref="F13:F23" si="1">B13+$L$5</f>
        <v>251176.47058823536</v>
      </c>
      <c r="G13" s="3">
        <f>G12+F13</f>
        <v>502352.94117647072</v>
      </c>
      <c r="H13" s="1" cm="1">
        <f t="array" ref="H13">_xlfn.IFS(AND(G12&lt;$G$4,G13&lt;$G$4),$H$4,AND(G12&lt;$G$4,G13&gt;=$G$4,G13&lt;$G$5),"переход на 15",AND(G12&gt;=$G$4,G13&lt;$G$5),$H$5,AND(G12&lt;$G$5,G13&gt;=$G$5,G13&lt;$G$6),"переход на 18",AND(G12&gt;=$G$5,G13&lt;$G$6),$H$6,AND(G12&lt;$G$6,G13&gt;=$G$6,G13&lt;$G$7),"переход на 20",AND(G12&gt;=$G$6,G13&lt;$G$7),$H$7,AND(G12&lt;$G$7,G13&gt;=$G$7),"переход на 22",G12&gt;=$G$7,$H$8)</f>
        <v>0.13</v>
      </c>
      <c r="I13" s="3" cm="1">
        <f t="array" ref="I13">_xlfn.IFS(H13=$H$4,F13*$H$4,H13="переход на 15",((G13-$G$4)*$H$5+(F13-(G13-$G$4))*$H$4),H13=$H$5,F13*$H$5,H13="переход на 18",((G13-$G$5)*$H$6+(F13-(G13-$G$5))*$H$5),H13=$H$6,F13*$H$6,H13="переход на 20",((G13-$G$6)*$H$7+(F13-(G13-$G$6))*$H$6),H13=$H$7,F13*$H$7,H13="переход на 22",((G13-$G$7)*$H$8+(F13-(G13-$G$7))*$H$7),H13=$H$8,F13*$H$8)</f>
        <v>32652.941176470598</v>
      </c>
      <c r="J13" s="3"/>
      <c r="K13" s="3">
        <f t="shared" ref="K13:K23" si="2">B13-D13</f>
        <v>217500</v>
      </c>
      <c r="L13" s="3">
        <f t="shared" ref="L13:L23" si="3">F13-I13</f>
        <v>218523.52941176476</v>
      </c>
      <c r="M13" s="3">
        <f t="shared" ref="M13:M23" si="4">L13-K13</f>
        <v>1023.5294117647572</v>
      </c>
    </row>
    <row r="14" spans="1:19" ht="15">
      <c r="A14" s="10" t="s">
        <v>4</v>
      </c>
      <c r="B14" s="20">
        <v>250000</v>
      </c>
      <c r="C14" s="3">
        <f t="shared" ref="C14:C23" si="5">C13+B14</f>
        <v>750000</v>
      </c>
      <c r="D14" s="1">
        <f t="shared" si="0"/>
        <v>32500</v>
      </c>
      <c r="F14" s="3">
        <f t="shared" si="1"/>
        <v>251176.47058823536</v>
      </c>
      <c r="G14" s="3">
        <f t="shared" ref="G14:G23" si="6">G13+F14</f>
        <v>753529.41176470602</v>
      </c>
      <c r="H14" s="1" cm="1">
        <f t="array" ref="H14">_xlfn.IFS(AND(G13&lt;$G$4,G14&lt;$G$4),$H$4,AND(G13&lt;$G$4,G14&gt;=$G$4,G14&lt;$G$5),"переход на 15",AND(G13&gt;=$G$4,G14&lt;$G$5),$H$5,AND(G13&lt;$G$5,G14&gt;=$G$5,G14&lt;$G$6),"переход на 18",AND(G13&gt;=$G$5,G14&lt;$G$6),$H$6,AND(G13&lt;$G$6,G14&gt;=$G$6,G14&lt;$G$7),"переход на 20",AND(G13&gt;=$G$6,G14&lt;$G$7),$H$7,AND(G13&lt;$G$7,G14&gt;=$G$7),"переход на 22",G13&gt;=$G$7,$H$8)</f>
        <v>0.13</v>
      </c>
      <c r="I14" s="3" cm="1">
        <f t="array" ref="I14">_xlfn.IFS(H14=$H$4,F14*$H$4,H14="переход на 15",((G14-$G$4)*$H$5+(F14-(G14-$G$4))*$H$4),H14=$H$5,F14*$H$5,H14="переход на 18",((G14-$G$5)*$H$6+(F14-(G14-$G$5))*$H$5),H14=$H$6,F14*$H$6,H14="переход на 20",((G14-$G$6)*$H$7+(F14-(G14-$G$6))*$H$6),H14=$H$7,F14*$H$7,H14="переход на 22",((G14-$G$7)*$H$8+(F14-(G14-$G$7))*$H$7),H14=$H$8,F14*$H$8)</f>
        <v>32652.941176470598</v>
      </c>
      <c r="J14" s="3"/>
      <c r="K14" s="3">
        <f t="shared" si="2"/>
        <v>217500</v>
      </c>
      <c r="L14" s="3">
        <f t="shared" si="3"/>
        <v>218523.52941176476</v>
      </c>
      <c r="M14" s="3">
        <f t="shared" si="4"/>
        <v>1023.5294117647572</v>
      </c>
    </row>
    <row r="15" spans="1:19" ht="15">
      <c r="A15" s="10" t="s">
        <v>5</v>
      </c>
      <c r="B15" s="20">
        <v>250000</v>
      </c>
      <c r="C15" s="3">
        <f t="shared" si="5"/>
        <v>1000000</v>
      </c>
      <c r="D15" s="1">
        <f t="shared" si="0"/>
        <v>32500</v>
      </c>
      <c r="F15" s="3">
        <f t="shared" si="1"/>
        <v>251176.47058823536</v>
      </c>
      <c r="G15" s="3">
        <f t="shared" si="6"/>
        <v>1004705.8823529414</v>
      </c>
      <c r="H15" s="1" cm="1">
        <f t="array" ref="H15">_xlfn.IFS(AND(G14&lt;$G$4,G15&lt;$G$4),$H$4,AND(G14&lt;$G$4,G15&gt;=$G$4,G15&lt;$G$5),"переход на 15",AND(G14&gt;=$G$4,G15&lt;$G$5),$H$5,AND(G14&lt;$G$5,G15&gt;=$G$5,G15&lt;$G$6),"переход на 18",AND(G14&gt;=$G$5,G15&lt;$G$6),$H$6,AND(G14&lt;$G$6,G15&gt;=$G$6,G15&lt;$G$7),"переход на 20",AND(G14&gt;=$G$6,G15&lt;$G$7),$H$7,AND(G14&lt;$G$7,G15&gt;=$G$7),"переход на 22",G14&gt;=$G$7,$H$8)</f>
        <v>0.13</v>
      </c>
      <c r="I15" s="3" cm="1">
        <f t="array" ref="I15">_xlfn.IFS(H15=$H$4,F15*$H$4,H15="переход на 15",((G15-$G$4)*$H$5+(F15-(G15-$G$4))*$H$4),H15=$H$5,F15*$H$5,H15="переход на 18",((G15-$G$5)*$H$6+(F15-(G15-$G$5))*$H$5),H15=$H$6,F15*$H$6,H15="переход на 20",((G15-$G$6)*$H$7+(F15-(G15-$G$6))*$H$6),H15=$H$7,F15*$H$7,H15="переход на 22",((G15-$G$7)*$H$8+(F15-(G15-$G$7))*$H$7),H15=$H$8,F15*$H$8)</f>
        <v>32652.941176470598</v>
      </c>
      <c r="J15" s="3"/>
      <c r="K15" s="3">
        <f t="shared" si="2"/>
        <v>217500</v>
      </c>
      <c r="L15" s="3">
        <f t="shared" si="3"/>
        <v>218523.52941176476</v>
      </c>
      <c r="M15" s="3">
        <f t="shared" si="4"/>
        <v>1023.5294117647572</v>
      </c>
    </row>
    <row r="16" spans="1:19" ht="15">
      <c r="A16" s="10" t="s">
        <v>6</v>
      </c>
      <c r="B16" s="20">
        <v>250000</v>
      </c>
      <c r="C16" s="3">
        <f t="shared" si="5"/>
        <v>1250000</v>
      </c>
      <c r="D16" s="1">
        <f t="shared" si="0"/>
        <v>32500</v>
      </c>
      <c r="F16" s="3">
        <f t="shared" si="1"/>
        <v>251176.47058823536</v>
      </c>
      <c r="G16" s="3">
        <f t="shared" si="6"/>
        <v>1255882.3529411769</v>
      </c>
      <c r="H16" s="1" cm="1">
        <f t="array" ref="H16">_xlfn.IFS(AND(G15&lt;$G$4,G16&lt;$G$4),$H$4,AND(G15&lt;$G$4,G16&gt;=$G$4,G16&lt;$G$5),"переход на 15",AND(G15&gt;=$G$4,G16&lt;$G$5),$H$5,AND(G15&lt;$G$5,G16&gt;=$G$5,G16&lt;$G$6),"переход на 18",AND(G15&gt;=$G$5,G16&lt;$G$6),$H$6,AND(G15&lt;$G$6,G16&gt;=$G$6,G16&lt;$G$7),"переход на 20",AND(G15&gt;=$G$6,G16&lt;$G$7),$H$7,AND(G15&lt;$G$7,G16&gt;=$G$7),"переход на 22",G15&gt;=$G$7,$H$8)</f>
        <v>0.13</v>
      </c>
      <c r="I16" s="3" cm="1">
        <f t="array" ref="I16">_xlfn.IFS(H16=$H$4,F16*$H$4,H16="переход на 15",((G16-$G$4)*$H$5+(F16-(G16-$G$4))*$H$4),H16=$H$5,F16*$H$5,H16="переход на 18",((G16-$G$5)*$H$6+(F16-(G16-$G$5))*$H$5),H16=$H$6,F16*$H$6,H16="переход на 20",((G16-$G$6)*$H$7+(F16-(G16-$G$6))*$H$6),H16=$H$7,F16*$H$7,H16="переход на 22",((G16-$G$7)*$H$8+(F16-(G16-$G$7))*$H$7),H16=$H$8,F16*$H$8)</f>
        <v>32652.941176470598</v>
      </c>
      <c r="J16" s="3"/>
      <c r="K16" s="3">
        <f t="shared" si="2"/>
        <v>217500</v>
      </c>
      <c r="L16" s="3">
        <f t="shared" si="3"/>
        <v>218523.52941176476</v>
      </c>
      <c r="M16" s="3">
        <f t="shared" si="4"/>
        <v>1023.5294117647572</v>
      </c>
    </row>
    <row r="17" spans="1:15" ht="15">
      <c r="A17" s="10" t="s">
        <v>7</v>
      </c>
      <c r="B17" s="20">
        <v>250000</v>
      </c>
      <c r="C17" s="3">
        <f t="shared" si="5"/>
        <v>1500000</v>
      </c>
      <c r="D17" s="1">
        <f t="shared" si="0"/>
        <v>32500</v>
      </c>
      <c r="F17" s="3">
        <f t="shared" si="1"/>
        <v>251176.47058823536</v>
      </c>
      <c r="G17" s="3">
        <f t="shared" si="6"/>
        <v>1507058.8235294123</v>
      </c>
      <c r="H17" s="1" cm="1">
        <f t="array" ref="H17">_xlfn.IFS(AND(G16&lt;$G$4,G17&lt;$G$4),$H$4,AND(G16&lt;$G$4,G17&gt;=$G$4,G17&lt;$G$5),"переход на 15",AND(G16&gt;=$G$4,G17&lt;$G$5),$H$5,AND(G16&lt;$G$5,G17&gt;=$G$5,G17&lt;$G$6),"переход на 18",AND(G16&gt;=$G$5,G17&lt;$G$6),$H$6,AND(G16&lt;$G$6,G17&gt;=$G$6,G17&lt;$G$7),"переход на 20",AND(G16&gt;=$G$6,G17&lt;$G$7),$H$7,AND(G16&lt;$G$7,G17&gt;=$G$7),"переход на 22",G16&gt;=$G$7,$H$8)</f>
        <v>0.13</v>
      </c>
      <c r="I17" s="3" cm="1">
        <f t="array" ref="I17">_xlfn.IFS(H17=$H$4,F17*$H$4,H17="переход на 15",((G17-$G$4)*$H$5+(F17-(G17-$G$4))*$H$4),H17=$H$5,F17*$H$5,H17="переход на 18",((G17-$G$5)*$H$6+(F17-(G17-$G$5))*$H$5),H17=$H$6,F17*$H$6,H17="переход на 20",((G17-$G$6)*$H$7+(F17-(G17-$G$6))*$H$6),H17=$H$7,F17*$H$7,H17="переход на 22",((G17-$G$7)*$H$8+(F17-(G17-$G$7))*$H$7),H17=$H$8,F17*$H$8)</f>
        <v>32652.941176470598</v>
      </c>
      <c r="J17" s="3"/>
      <c r="K17" s="3">
        <f t="shared" si="2"/>
        <v>217500</v>
      </c>
      <c r="L17" s="3">
        <f t="shared" si="3"/>
        <v>218523.52941176476</v>
      </c>
      <c r="M17" s="3">
        <f t="shared" si="4"/>
        <v>1023.5294117647572</v>
      </c>
    </row>
    <row r="18" spans="1:15" ht="15">
      <c r="A18" s="10" t="s">
        <v>8</v>
      </c>
      <c r="B18" s="20">
        <v>250000</v>
      </c>
      <c r="C18" s="3">
        <f t="shared" si="5"/>
        <v>1750000</v>
      </c>
      <c r="D18" s="1">
        <f t="shared" si="0"/>
        <v>32500</v>
      </c>
      <c r="F18" s="3">
        <f t="shared" si="1"/>
        <v>251176.47058823536</v>
      </c>
      <c r="G18" s="3">
        <f t="shared" si="6"/>
        <v>1758235.2941176477</v>
      </c>
      <c r="H18" s="1" cm="1">
        <f t="array" ref="H18">_xlfn.IFS(AND(G17&lt;$G$4,G18&lt;$G$4),$H$4,AND(G17&lt;$G$4,G18&gt;=$G$4,G18&lt;$G$5),"переход на 15",AND(G17&gt;=$G$4,G18&lt;$G$5),$H$5,AND(G17&lt;$G$5,G18&gt;=$G$5,G18&lt;$G$6),"переход на 18",AND(G17&gt;=$G$5,G18&lt;$G$6),$H$6,AND(G17&lt;$G$6,G18&gt;=$G$6,G18&lt;$G$7),"переход на 20",AND(G17&gt;=$G$6,G18&lt;$G$7),$H$7,AND(G17&lt;$G$7,G18&gt;=$G$7),"переход на 22",G17&gt;=$G$7,$H$8)</f>
        <v>0.13</v>
      </c>
      <c r="I18" s="3" cm="1">
        <f t="array" ref="I18">_xlfn.IFS(H18=$H$4,F18*$H$4,H18="переход на 15",((G18-$G$4)*$H$5+(F18-(G18-$G$4))*$H$4),H18=$H$5,F18*$H$5,H18="переход на 18",((G18-$G$5)*$H$6+(F18-(G18-$G$5))*$H$5),H18=$H$6,F18*$H$6,H18="переход на 20",((G18-$G$6)*$H$7+(F18-(G18-$G$6))*$H$6),H18=$H$7,F18*$H$7,H18="переход на 22",((G18-$G$7)*$H$8+(F18-(G18-$G$7))*$H$7),H18=$H$8,F18*$H$8)</f>
        <v>32652.941176470598</v>
      </c>
      <c r="J18" s="3"/>
      <c r="K18" s="3">
        <f t="shared" si="2"/>
        <v>217500</v>
      </c>
      <c r="L18" s="3">
        <f t="shared" si="3"/>
        <v>218523.52941176476</v>
      </c>
      <c r="M18" s="3">
        <f t="shared" si="4"/>
        <v>1023.5294117647572</v>
      </c>
    </row>
    <row r="19" spans="1:15" ht="15">
      <c r="A19" s="10" t="s">
        <v>9</v>
      </c>
      <c r="B19" s="20">
        <v>250000</v>
      </c>
      <c r="C19" s="3">
        <f t="shared" si="5"/>
        <v>2000000</v>
      </c>
      <c r="D19" s="1">
        <f t="shared" si="0"/>
        <v>32500</v>
      </c>
      <c r="F19" s="3">
        <f t="shared" si="1"/>
        <v>251176.47058823536</v>
      </c>
      <c r="G19" s="3">
        <f t="shared" si="6"/>
        <v>2009411.7647058831</v>
      </c>
      <c r="H19" s="1" cm="1">
        <f t="array" ref="H19">_xlfn.IFS(AND(G18&lt;$G$4,G19&lt;$G$4),$H$4,AND(G18&lt;$G$4,G19&gt;=$G$4,G19&lt;$G$5),"переход на 15",AND(G18&gt;=$G$4,G19&lt;$G$5),$H$5,AND(G18&lt;$G$5,G19&gt;=$G$5,G19&lt;$G$6),"переход на 18",AND(G18&gt;=$G$5,G19&lt;$G$6),$H$6,AND(G18&lt;$G$6,G19&gt;=$G$6,G19&lt;$G$7),"переход на 20",AND(G18&gt;=$G$6,G19&lt;$G$7),$H$7,AND(G18&lt;$G$7,G19&gt;=$G$7),"переход на 22",G18&gt;=$G$7,$H$8)</f>
        <v>0.13</v>
      </c>
      <c r="I19" s="3" cm="1">
        <f t="array" ref="I19">_xlfn.IFS(H19=$H$4,F19*$H$4,H19="переход на 15",((G19-$G$4)*$H$5+(F19-(G19-$G$4))*$H$4),H19=$H$5,F19*$H$5,H19="переход на 18",((G19-$G$5)*$H$6+(F19-(G19-$G$5))*$H$5),H19=$H$6,F19*$H$6,H19="переход на 20",((G19-$G$6)*$H$7+(F19-(G19-$G$6))*$H$6),H19=$H$7,F19*$H$7,H19="переход на 22",((G19-$G$7)*$H$8+(F19-(G19-$G$7))*$H$7),H19=$H$8,F19*$H$8)</f>
        <v>32652.941176470598</v>
      </c>
      <c r="J19" s="3"/>
      <c r="K19" s="3">
        <f t="shared" si="2"/>
        <v>217500</v>
      </c>
      <c r="L19" s="3">
        <f t="shared" si="3"/>
        <v>218523.52941176476</v>
      </c>
      <c r="M19" s="3">
        <f t="shared" si="4"/>
        <v>1023.5294117647572</v>
      </c>
    </row>
    <row r="20" spans="1:15" ht="15">
      <c r="A20" s="10" t="s">
        <v>10</v>
      </c>
      <c r="B20" s="20">
        <v>250000</v>
      </c>
      <c r="C20" s="3">
        <f t="shared" si="5"/>
        <v>2250000</v>
      </c>
      <c r="D20" s="1">
        <f t="shared" si="0"/>
        <v>32500</v>
      </c>
      <c r="F20" s="3">
        <f t="shared" si="1"/>
        <v>251176.47058823536</v>
      </c>
      <c r="G20" s="3">
        <f t="shared" si="6"/>
        <v>2260588.2352941185</v>
      </c>
      <c r="H20" s="1" cm="1">
        <f t="array" ref="H20">_xlfn.IFS(AND(G19&lt;$G$4,G20&lt;$G$4),$H$4,AND(G19&lt;$G$4,G20&gt;=$G$4,G20&lt;$G$5),"переход на 15",AND(G19&gt;=$G$4,G20&lt;$G$5),$H$5,AND(G19&lt;$G$5,G20&gt;=$G$5,G20&lt;$G$6),"переход на 18",AND(G19&gt;=$G$5,G20&lt;$G$6),$H$6,AND(G19&lt;$G$6,G20&gt;=$G$6,G20&lt;$G$7),"переход на 20",AND(G19&gt;=$G$6,G20&lt;$G$7),$H$7,AND(G19&lt;$G$7,G20&gt;=$G$7),"переход на 22",G19&gt;=$G$7,$H$8)</f>
        <v>0.13</v>
      </c>
      <c r="I20" s="3" cm="1">
        <f t="array" ref="I20">_xlfn.IFS(H20=$H$4,F20*$H$4,H20="переход на 15",((G20-$G$4)*$H$5+(F20-(G20-$G$4))*$H$4),H20=$H$5,F20*$H$5,H20="переход на 18",((G20-$G$5)*$H$6+(F20-(G20-$G$5))*$H$5),H20=$H$6,F20*$H$6,H20="переход на 20",((G20-$G$6)*$H$7+(F20-(G20-$G$6))*$H$6),H20=$H$7,F20*$H$7,H20="переход на 22",((G20-$G$7)*$H$8+(F20-(G20-$G$7))*$H$7),H20=$H$8,F20*$H$8)</f>
        <v>32652.941176470598</v>
      </c>
      <c r="J20" s="3"/>
      <c r="K20" s="3">
        <f t="shared" si="2"/>
        <v>217500</v>
      </c>
      <c r="L20" s="3">
        <f t="shared" si="3"/>
        <v>218523.52941176476</v>
      </c>
      <c r="M20" s="3">
        <f t="shared" si="4"/>
        <v>1023.5294117647572</v>
      </c>
      <c r="O20" s="3"/>
    </row>
    <row r="21" spans="1:15" ht="15">
      <c r="A21" s="10" t="s">
        <v>11</v>
      </c>
      <c r="B21" s="20">
        <v>250000</v>
      </c>
      <c r="C21" s="3">
        <f t="shared" si="5"/>
        <v>2500000</v>
      </c>
      <c r="D21" s="1">
        <f t="shared" si="0"/>
        <v>32500</v>
      </c>
      <c r="F21" s="3">
        <f t="shared" si="1"/>
        <v>251176.47058823536</v>
      </c>
      <c r="G21" s="3">
        <f t="shared" si="6"/>
        <v>2511764.7058823537</v>
      </c>
      <c r="H21" s="1" t="str" cm="1">
        <f t="array" ref="H21">_xlfn.IFS(AND(G20&lt;$G$4,G21&lt;$G$4),$H$4,AND(G20&lt;$G$4,G21&gt;=$G$4,G21&lt;$G$5),"переход на 15",AND(G20&gt;=$G$4,G21&lt;$G$5),$H$5,AND(G20&lt;$G$5,G21&gt;=$G$5,G21&lt;$G$6),"переход на 18",AND(G20&gt;=$G$5,G21&lt;$G$6),$H$6,AND(G20&lt;$G$6,G21&gt;=$G$6,G21&lt;$G$7),"переход на 20",AND(G20&gt;=$G$6,G21&lt;$G$7),$H$7,AND(G20&lt;$G$7,G21&gt;=$G$7),"переход на 22",G20&gt;=$G$7,$H$8)</f>
        <v>переход на 15</v>
      </c>
      <c r="I21" s="3" cm="1">
        <f t="array" ref="I21">_xlfn.IFS(H21=$H$4,F21*$H$4,H21="переход на 15",((G21-$G$4)*$H$5+(F21-(G21-$G$4))*$H$4),H21=$H$5,F21*$H$5,H21="переход на 18",((G21-$G$5)*$H$6+(F21-(G21-$G$5))*$H$5),H21=$H$6,F21*$H$6,H21="переход на 20",((G21-$G$6)*$H$7+(F21-(G21-$G$6))*$H$6),H21=$H$7,F21*$H$7,H21="переход на 22",((G21-$G$7)*$H$8+(F21-(G21-$G$7))*$H$7),H21=$H$8,F21*$H$8)</f>
        <v>34888.235294117672</v>
      </c>
      <c r="J21" s="3"/>
      <c r="K21" s="3">
        <f t="shared" si="2"/>
        <v>217500</v>
      </c>
      <c r="L21" s="3">
        <f t="shared" si="3"/>
        <v>216288.23529411768</v>
      </c>
      <c r="M21" s="3">
        <f t="shared" si="4"/>
        <v>-1211.7647058823204</v>
      </c>
    </row>
    <row r="22" spans="1:15" ht="15">
      <c r="A22" s="10" t="s">
        <v>12</v>
      </c>
      <c r="B22" s="20">
        <v>250000</v>
      </c>
      <c r="C22" s="3">
        <f t="shared" si="5"/>
        <v>2750000</v>
      </c>
      <c r="D22" s="1">
        <f t="shared" si="0"/>
        <v>32500</v>
      </c>
      <c r="F22" s="3">
        <f t="shared" si="1"/>
        <v>251176.47058823536</v>
      </c>
      <c r="G22" s="3">
        <f t="shared" si="6"/>
        <v>2762941.1764705889</v>
      </c>
      <c r="H22" s="1" cm="1">
        <f t="array" ref="H22">_xlfn.IFS(AND(G21&lt;$G$4,G22&lt;$G$4),$H$4,AND(G21&lt;$G$4,G22&gt;=$G$4,G22&lt;$G$5),"переход на 15",AND(G21&gt;=$G$4,G22&lt;$G$5),$H$5,AND(G21&lt;$G$5,G22&gt;=$G$5,G22&lt;$G$6),"переход на 18",AND(G21&gt;=$G$5,G22&lt;$G$6),$H$6,AND(G21&lt;$G$6,G22&gt;=$G$6,G22&lt;$G$7),"переход на 20",AND(G21&gt;=$G$6,G22&lt;$G$7),$H$7,AND(G21&lt;$G$7,G22&gt;=$G$7),"переход на 22",G21&gt;=$G$7,$H$8)</f>
        <v>0.15</v>
      </c>
      <c r="I22" s="3" cm="1">
        <f t="array" ref="I22">_xlfn.IFS(H22=$H$4,F22*$H$4,H22="переход на 15",((G22-$G$4)*$H$5+(F22-(G22-$G$4))*$H$4),H22=$H$5,F22*$H$5,H22="переход на 18",((G22-$G$5)*$H$6+(F22-(G22-$G$5))*$H$5),H22=$H$6,F22*$H$6,H22="переход на 20",((G22-$G$6)*$H$7+(F22-(G22-$G$6))*$H$6),H22=$H$7,F22*$H$7,H22="переход на 22",((G22-$G$7)*$H$8+(F22-(G22-$G$7))*$H$7),H22=$H$8,F22*$H$8)</f>
        <v>37676.470588235301</v>
      </c>
      <c r="J22" s="3"/>
      <c r="K22" s="3">
        <f t="shared" si="2"/>
        <v>217500</v>
      </c>
      <c r="L22" s="3">
        <f t="shared" si="3"/>
        <v>213500.00000000006</v>
      </c>
      <c r="M22" s="3">
        <f t="shared" si="4"/>
        <v>-3999.9999999999418</v>
      </c>
    </row>
    <row r="23" spans="1:15" ht="15.75" thickBot="1">
      <c r="A23" s="10" t="s">
        <v>13</v>
      </c>
      <c r="B23" s="20">
        <v>250000</v>
      </c>
      <c r="C23" s="3">
        <f t="shared" si="5"/>
        <v>3000000</v>
      </c>
      <c r="D23" s="1">
        <f t="shared" si="0"/>
        <v>32500</v>
      </c>
      <c r="F23" s="3">
        <f t="shared" si="1"/>
        <v>251176.47058823536</v>
      </c>
      <c r="G23" s="3">
        <f t="shared" si="6"/>
        <v>3014117.6470588241</v>
      </c>
      <c r="H23" s="1" cm="1">
        <f t="array" ref="H23">_xlfn.IFS(AND(G22&lt;$G$4,G23&lt;$G$4),$H$4,AND(G22&lt;$G$4,G23&gt;=$G$4,G23&lt;$G$5),"переход на 15",AND(G22&gt;=$G$4,G23&lt;$G$5),$H$5,AND(G22&lt;$G$5,G23&gt;=$G$5,G23&lt;$G$6),"переход на 18",AND(G22&gt;=$G$5,G23&lt;$G$6),$H$6,AND(G22&lt;$G$6,G23&gt;=$G$6,G23&lt;$G$7),"переход на 20",AND(G22&gt;=$G$6,G23&lt;$G$7),$H$7,AND(G22&lt;$G$7,G23&gt;=$G$7),"переход на 22",G22&gt;=$G$7,$H$8)</f>
        <v>0.15</v>
      </c>
      <c r="I23" s="3" cm="1">
        <f t="array" ref="I23">_xlfn.IFS(H23=$H$4,F23*$H$4,H23="переход на 15",((G23-$G$4)*$H$5+(F23-(G23-$G$4))*$H$4),H23=$H$5,F23*$H$5,H23="переход на 18",((G23-$G$5)*$H$6+(F23-(G23-$G$5))*$H$5),H23=$H$6,F23*$H$6,H23="переход на 20",((G23-$G$6)*$H$7+(F23-(G23-$G$6))*$H$6),H23=$H$7,F23*$H$7,H23="переход на 22",((G23-$G$7)*$H$8+(F23-(G23-$G$7))*$H$7),H23=$H$8,F23*$H$8)</f>
        <v>37676.470588235301</v>
      </c>
      <c r="J23" s="3"/>
      <c r="K23" s="3">
        <f t="shared" si="2"/>
        <v>217500</v>
      </c>
      <c r="L23" s="3">
        <f t="shared" si="3"/>
        <v>213500.00000000006</v>
      </c>
      <c r="M23" s="3">
        <f t="shared" si="4"/>
        <v>-3999.9999999999418</v>
      </c>
    </row>
    <row r="24" spans="1:15" ht="15.75" thickBot="1">
      <c r="A24" s="10" t="s">
        <v>18</v>
      </c>
      <c r="B24" s="9">
        <f>SUM(B12:B23)</f>
        <v>3000000</v>
      </c>
      <c r="D24" s="9">
        <f>SUM(D12:D23)</f>
        <v>390000</v>
      </c>
      <c r="F24" s="9">
        <f>SUM(F12:F23)</f>
        <v>3014117.6470588241</v>
      </c>
      <c r="H24" s="9"/>
      <c r="I24" s="9">
        <f>SUM(I12:I23)</f>
        <v>404117.64705882361</v>
      </c>
      <c r="J24" s="9"/>
      <c r="K24" s="9">
        <f>SUM(K12:K23)</f>
        <v>2610000</v>
      </c>
      <c r="L24" s="9">
        <f>SUM(L12:L23)</f>
        <v>2610000.0000000009</v>
      </c>
      <c r="M24" s="38">
        <f>SUM(M12:M23)</f>
        <v>6.1118043959140778E-10</v>
      </c>
    </row>
  </sheetData>
  <mergeCells count="5">
    <mergeCell ref="B3:C3"/>
    <mergeCell ref="F3:G3"/>
    <mergeCell ref="F9:G9"/>
    <mergeCell ref="O7:S7"/>
    <mergeCell ref="O3:S3"/>
  </mergeCells>
  <conditionalFormatting sqref="C12:C23">
    <cfRule type="cellIs" dxfId="4" priority="5" operator="greaterThan">
      <formula>$G$5</formula>
    </cfRule>
  </conditionalFormatting>
  <conditionalFormatting sqref="G12:G23">
    <cfRule type="cellIs" dxfId="3" priority="1" operator="greaterThan">
      <formula>$G$7</formula>
    </cfRule>
    <cfRule type="cellIs" dxfId="2" priority="2" operator="greaterThan">
      <formula>$G$6</formula>
    </cfRule>
    <cfRule type="cellIs" dxfId="1" priority="3" operator="greaterThan">
      <formula>$G$5</formula>
    </cfRule>
    <cfRule type="cellIs" dxfId="0" priority="4" operator="greaterThan">
      <formula>$G$4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Калькулятор НДФЛ</vt:lpstr>
      <vt:lpstr>Компенсация выпадающего дохода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dcterms:created xsi:type="dcterms:W3CDTF">2024-05-28T23:57:21Z</dcterms:created>
  <dcterms:modified xsi:type="dcterms:W3CDTF">2024-09-19T08:09:18Z</dcterms:modified>
</cp:coreProperties>
</file>